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https://uctcloud-my.sharepoint.com/personal/01405439_wf_uct_ac_za/Documents/Energy Systems Research Group/Projects/Active/WB-CCDR/WIP/JuneModelRuns/"/>
    </mc:Choice>
  </mc:AlternateContent>
  <xr:revisionPtr revIDLastSave="4" documentId="13_ncr:1_{849AD5A3-9C79-4187-9F1D-2086C4DF1CDB}" xr6:coauthVersionLast="47" xr6:coauthVersionMax="47" xr10:uidLastSave="{7856392F-0E4D-4C63-967A-CADF4D019F47}"/>
  <bookViews>
    <workbookView xWindow="-120" yWindow="-120" windowWidth="29040" windowHeight="15840" firstSheet="1" activeTab="4"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L20" i="23"/>
  <c r="P112" i="6"/>
  <c r="T112" i="6" s="1"/>
  <c r="AM43" i="6" s="1"/>
  <c r="Y20" i="23"/>
  <c r="P98" i="6"/>
  <c r="T98" i="6" s="1"/>
  <c r="AM29" i="6" s="1"/>
  <c r="K20" i="23"/>
  <c r="T99" i="6"/>
  <c r="AM30"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<sst xmlns="http://schemas.openxmlformats.org/spreadsheetml/2006/main" count="3690" uniqueCount="820">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</sst>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7" fontId="0" fillId="25" borderId="76" xfId="6" applyNumberFormat="1" applyFont="1" applyBorder="1"/>
    <xf numFmtId="178" fontId="21" fillId="25" borderId="70" xfId="6" applyNumberFormat="1" applyFont="1" applyBorder="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applyBorder="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applyBorder="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16399.992049402983</c:v>
                </c:pt>
                <c:pt idx="11">
                  <c:v>15964.408511210677</c:v>
                </c:pt>
                <c:pt idx="12">
                  <c:v>15516.347325639759</c:v>
                </c:pt>
                <c:pt idx="13">
                  <c:v>15064.760488357322</c:v>
                </c:pt>
                <c:pt idx="14">
                  <c:v>14609.384742486171</c:v>
                </c:pt>
                <c:pt idx="15">
                  <c:v>14145.858877724584</c:v>
                </c:pt>
                <c:pt idx="16">
                  <c:v>13681.682208702525</c:v>
                </c:pt>
                <c:pt idx="17">
                  <c:v>13227.797735419499</c:v>
                </c:pt>
                <c:pt idx="18">
                  <c:v>12784.192932173115</c:v>
                </c:pt>
                <c:pt idx="19">
                  <c:v>12355.181563381011</c:v>
                </c:pt>
                <c:pt idx="20">
                  <c:v>11940.295157318465</c:v>
                </c:pt>
                <c:pt idx="21">
                  <c:v>11539.082365502234</c:v>
                </c:pt>
                <c:pt idx="22">
                  <c:v>11151.151256410541</c:v>
                </c:pt>
                <c:pt idx="23">
                  <c:v>10775.701883524569</c:v>
                </c:pt>
                <c:pt idx="24">
                  <c:v>10411.973208664447</c:v>
                </c:pt>
                <c:pt idx="25">
                  <c:v>10059.241211107601</c:v>
                </c:pt>
                <c:pt idx="26">
                  <c:v>9732.6703782736222</c:v>
                </c:pt>
                <c:pt idx="27">
                  <c:v>9449.0619737877023</c:v>
                </c:pt>
                <c:pt idx="28">
                  <c:v>9192.8272643382079</c:v>
                </c:pt>
                <c:pt idx="29">
                  <c:v>8952.9025631140412</c:v>
                </c:pt>
                <c:pt idx="30">
                  <c:v>8728.6861229986353</c:v>
                </c:pt>
                <c:pt idx="31">
                  <c:v>8519.5778944258964</c:v>
                </c:pt>
                <c:pt idx="32">
                  <c:v>8316.4677880378767</c:v>
                </c:pt>
                <c:pt idx="33">
                  <c:v>8119.2984059205992</c:v>
                </c:pt>
                <c:pt idx="34">
                  <c:v>7928.0368721510049</c:v>
                </c:pt>
                <c:pt idx="35">
                  <c:v>7742.6467467196289</c:v>
                </c:pt>
                <c:pt idx="36">
                  <c:v>7563.0828666180705</c:v>
                </c:pt>
                <c:pt idx="37">
                  <c:v>7383.313946975366</c:v>
                </c:pt>
                <c:pt idx="38">
                  <c:v>7203.3219371120585</c:v>
                </c:pt>
                <c:pt idx="39">
                  <c:v>7029.2166933708822</c:v>
                </c:pt>
                <c:pt idx="40">
                  <c:v>6860.9247298534738</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965.18873138103606</c:v>
                </c:pt>
                <c:pt idx="10">
                  <c:v>993.00163522646437</c:v>
                </c:pt>
                <c:pt idx="11">
                  <c:v>1052.6277560837971</c:v>
                </c:pt>
                <c:pt idx="12">
                  <c:v>1109.3130661951122</c:v>
                </c:pt>
                <c:pt idx="13">
                  <c:v>1172.0623778493891</c:v>
                </c:pt>
                <c:pt idx="14">
                  <c:v>1235.9016260854144</c:v>
                </c:pt>
                <c:pt idx="15">
                  <c:v>1299.322595240448</c:v>
                </c:pt>
                <c:pt idx="16">
                  <c:v>1361.9010746199071</c:v>
                </c:pt>
                <c:pt idx="17">
                  <c:v>1424.2252603036306</c:v>
                </c:pt>
                <c:pt idx="18">
                  <c:v>1431.5467349402697</c:v>
                </c:pt>
                <c:pt idx="19">
                  <c:v>1440.6605602700872</c:v>
                </c:pt>
                <c:pt idx="20">
                  <c:v>1449.6847675388249</c:v>
                </c:pt>
                <c:pt idx="21">
                  <c:v>1459.53312254915</c:v>
                </c:pt>
                <c:pt idx="22">
                  <c:v>1471.1104253219155</c:v>
                </c:pt>
                <c:pt idx="23">
                  <c:v>1483.6068267830804</c:v>
                </c:pt>
                <c:pt idx="24">
                  <c:v>1498.1907971897124</c:v>
                </c:pt>
                <c:pt idx="25">
                  <c:v>1509.9520491163021</c:v>
                </c:pt>
                <c:pt idx="26">
                  <c:v>1521.3407121490407</c:v>
                </c:pt>
                <c:pt idx="27">
                  <c:v>1534.0662850457779</c:v>
                </c:pt>
                <c:pt idx="28">
                  <c:v>1546.6975423702181</c:v>
                </c:pt>
                <c:pt idx="29">
                  <c:v>1559.9829496906668</c:v>
                </c:pt>
                <c:pt idx="30">
                  <c:v>1573.4365376598453</c:v>
                </c:pt>
                <c:pt idx="31">
                  <c:v>1588.2368310322743</c:v>
                </c:pt>
                <c:pt idx="32">
                  <c:v>1602.6092002822506</c:v>
                </c:pt>
                <c:pt idx="33">
                  <c:v>1617.2967832924933</c:v>
                </c:pt>
                <c:pt idx="34">
                  <c:v>1632.4995989220338</c:v>
                </c:pt>
                <c:pt idx="35">
                  <c:v>1648.2999227703142</c:v>
                </c:pt>
                <c:pt idx="36">
                  <c:v>1665.8683733156849</c:v>
                </c:pt>
                <c:pt idx="37">
                  <c:v>1678.4803252735883</c:v>
                </c:pt>
                <c:pt idx="38">
                  <c:v>1691.5419984730534</c:v>
                </c:pt>
                <c:pt idx="39">
                  <c:v>1704.2188779044377</c:v>
                </c:pt>
                <c:pt idx="40">
                  <c:v>1716.9719571983092</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16399.992049402983</c:v>
                </c:pt>
                <c:pt idx="11">
                  <c:v>15964.408511210677</c:v>
                </c:pt>
                <c:pt idx="12">
                  <c:v>15516.347325639759</c:v>
                </c:pt>
                <c:pt idx="13">
                  <c:v>15064.760488357322</c:v>
                </c:pt>
                <c:pt idx="14">
                  <c:v>14609.384742486171</c:v>
                </c:pt>
                <c:pt idx="15">
                  <c:v>14145.858877724584</c:v>
                </c:pt>
                <c:pt idx="16">
                  <c:v>13681.682208702525</c:v>
                </c:pt>
                <c:pt idx="17">
                  <c:v>13227.797735419499</c:v>
                </c:pt>
                <c:pt idx="18">
                  <c:v>12784.192932173115</c:v>
                </c:pt>
                <c:pt idx="19">
                  <c:v>12355.181563381011</c:v>
                </c:pt>
                <c:pt idx="20">
                  <c:v>11940.295157318465</c:v>
                </c:pt>
                <c:pt idx="21">
                  <c:v>11539.082365502234</c:v>
                </c:pt>
                <c:pt idx="22">
                  <c:v>11151.151256410541</c:v>
                </c:pt>
                <c:pt idx="23">
                  <c:v>10775.701883524569</c:v>
                </c:pt>
                <c:pt idx="24">
                  <c:v>10411.973208664447</c:v>
                </c:pt>
                <c:pt idx="25">
                  <c:v>10059.241211107601</c:v>
                </c:pt>
                <c:pt idx="26">
                  <c:v>9732.6703782736222</c:v>
                </c:pt>
                <c:pt idx="27">
                  <c:v>9449.0619737877023</c:v>
                </c:pt>
                <c:pt idx="28">
                  <c:v>9192.8272643382079</c:v>
                </c:pt>
                <c:pt idx="29">
                  <c:v>8952.9025631140412</c:v>
                </c:pt>
                <c:pt idx="30">
                  <c:v>8728.6861229986353</c:v>
                </c:pt>
                <c:pt idx="31">
                  <c:v>8519.5778944258964</c:v>
                </c:pt>
                <c:pt idx="32">
                  <c:v>8316.4677880378767</c:v>
                </c:pt>
                <c:pt idx="33">
                  <c:v>8119.2984059205992</c:v>
                </c:pt>
                <c:pt idx="34">
                  <c:v>7928.0368721510049</c:v>
                </c:pt>
                <c:pt idx="35">
                  <c:v>7742.6467467196289</c:v>
                </c:pt>
                <c:pt idx="36">
                  <c:v>7563.0828666180705</c:v>
                </c:pt>
                <c:pt idx="37">
                  <c:v>7383.313946975366</c:v>
                </c:pt>
                <c:pt idx="38">
                  <c:v>7203.3219371120585</c:v>
                </c:pt>
                <c:pt idx="39">
                  <c:v>7029.2166933708822</c:v>
                </c:pt>
                <c:pt idx="40">
                  <c:v>6860.9247298534738</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965.18873138103606</c:v>
                </c:pt>
                <c:pt idx="10">
                  <c:v>993.00163522646437</c:v>
                </c:pt>
                <c:pt idx="11">
                  <c:v>1052.6277560837971</c:v>
                </c:pt>
                <c:pt idx="12">
                  <c:v>1109.3130661951122</c:v>
                </c:pt>
                <c:pt idx="13">
                  <c:v>1172.0623778493891</c:v>
                </c:pt>
                <c:pt idx="14">
                  <c:v>1235.9016260854144</c:v>
                </c:pt>
                <c:pt idx="15">
                  <c:v>1299.322595240448</c:v>
                </c:pt>
                <c:pt idx="16">
                  <c:v>1361.9010746199071</c:v>
                </c:pt>
                <c:pt idx="17">
                  <c:v>1424.2252603036306</c:v>
                </c:pt>
                <c:pt idx="18">
                  <c:v>1431.5467349402697</c:v>
                </c:pt>
                <c:pt idx="19">
                  <c:v>1440.6605602700872</c:v>
                </c:pt>
                <c:pt idx="20">
                  <c:v>1449.6847675388249</c:v>
                </c:pt>
                <c:pt idx="21">
                  <c:v>1459.53312254915</c:v>
                </c:pt>
                <c:pt idx="22">
                  <c:v>1471.1104253219155</c:v>
                </c:pt>
                <c:pt idx="23">
                  <c:v>1483.6068267830804</c:v>
                </c:pt>
                <c:pt idx="24">
                  <c:v>1498.1907971897124</c:v>
                </c:pt>
                <c:pt idx="25">
                  <c:v>1509.9520491163021</c:v>
                </c:pt>
                <c:pt idx="26">
                  <c:v>1521.3407121490407</c:v>
                </c:pt>
                <c:pt idx="27">
                  <c:v>1534.0662850457779</c:v>
                </c:pt>
                <c:pt idx="28">
                  <c:v>1546.6975423702181</c:v>
                </c:pt>
                <c:pt idx="29">
                  <c:v>1559.9829496906668</c:v>
                </c:pt>
                <c:pt idx="30">
                  <c:v>1573.4365376598453</c:v>
                </c:pt>
                <c:pt idx="31">
                  <c:v>1588.2368310322743</c:v>
                </c:pt>
                <c:pt idx="32">
                  <c:v>1602.6092002822506</c:v>
                </c:pt>
                <c:pt idx="33">
                  <c:v>1617.2967832924933</c:v>
                </c:pt>
                <c:pt idx="34">
                  <c:v>1632.4995989220338</c:v>
                </c:pt>
                <c:pt idx="35">
                  <c:v>1648.2999227703142</c:v>
                </c:pt>
                <c:pt idx="36">
                  <c:v>1665.8683733156849</c:v>
                </c:pt>
                <c:pt idx="37">
                  <c:v>1678.4803252735883</c:v>
                </c:pt>
                <c:pt idx="38">
                  <c:v>1691.5419984730534</c:v>
                </c:pt>
                <c:pt idx="39">
                  <c:v>1704.2188779044377</c:v>
                </c:pt>
                <c:pt idx="40">
                  <c:v>1716.9719571983092</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16422.85727496622</c:v>
                </c:pt>
                <c:pt idx="11">
                  <c:v>15979.833484794162</c:v>
                </c:pt>
                <c:pt idx="12">
                  <c:v>15434.501522964913</c:v>
                </c:pt>
                <c:pt idx="13">
                  <c:v>14855.073965653686</c:v>
                </c:pt>
                <c:pt idx="14">
                  <c:v>14299.250536718746</c:v>
                </c:pt>
                <c:pt idx="15">
                  <c:v>13765.332476238824</c:v>
                </c:pt>
                <c:pt idx="16">
                  <c:v>13251.693920662827</c:v>
                </c:pt>
                <c:pt idx="17">
                  <c:v>12756.698370639615</c:v>
                </c:pt>
                <c:pt idx="18">
                  <c:v>12278.864879322158</c:v>
                </c:pt>
                <c:pt idx="19">
                  <c:v>11816.774174360922</c:v>
                </c:pt>
                <c:pt idx="20">
                  <c:v>11369.065259960647</c:v>
                </c:pt>
                <c:pt idx="21">
                  <c:v>10934.432159779775</c:v>
                </c:pt>
                <c:pt idx="22">
                  <c:v>10508.992764168599</c:v>
                </c:pt>
                <c:pt idx="23">
                  <c:v>10092.250310627282</c:v>
                </c:pt>
                <c:pt idx="24">
                  <c:v>9696.0757403764201</c:v>
                </c:pt>
                <c:pt idx="25">
                  <c:v>9319.466244422918</c:v>
                </c:pt>
                <c:pt idx="26">
                  <c:v>8961.4678791864935</c:v>
                </c:pt>
                <c:pt idx="27">
                  <c:v>8622.1079986674104</c:v>
                </c:pt>
                <c:pt idx="28">
                  <c:v>8314.3318727261831</c:v>
                </c:pt>
                <c:pt idx="29">
                  <c:v>8031.2069973134085</c:v>
                </c:pt>
                <c:pt idx="30">
                  <c:v>7771.6726857484191</c:v>
                </c:pt>
                <c:pt idx="31">
                  <c:v>7534.7072337743411</c:v>
                </c:pt>
                <c:pt idx="32">
                  <c:v>7314.7930089886077</c:v>
                </c:pt>
                <c:pt idx="33">
                  <c:v>7111.1408065284713</c:v>
                </c:pt>
                <c:pt idx="34">
                  <c:v>6923.0141684141936</c:v>
                </c:pt>
                <c:pt idx="35">
                  <c:v>6749.7151519113349</c:v>
                </c:pt>
                <c:pt idx="36">
                  <c:v>6590.5797808186699</c:v>
                </c:pt>
                <c:pt idx="37">
                  <c:v>6440.484985273757</c:v>
                </c:pt>
                <c:pt idx="38">
                  <c:v>6298.8473485040813</c:v>
                </c:pt>
                <c:pt idx="39">
                  <c:v>6165.2593004176542</c:v>
                </c:pt>
                <c:pt idx="40">
                  <c:v>6039.3124690438972</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965.18873138103606</c:v>
                </c:pt>
                <c:pt idx="10">
                  <c:v>1048.4613635432911</c:v>
                </c:pt>
                <c:pt idx="11">
                  <c:v>1272.7485031807246</c:v>
                </c:pt>
                <c:pt idx="12">
                  <c:v>1382.3162923532975</c:v>
                </c:pt>
                <c:pt idx="13">
                  <c:v>1390.4649587759375</c:v>
                </c:pt>
                <c:pt idx="14">
                  <c:v>1399.7035617803256</c:v>
                </c:pt>
                <c:pt idx="15">
                  <c:v>1408.523885703722</c:v>
                </c:pt>
                <c:pt idx="16">
                  <c:v>1416.5017198515443</c:v>
                </c:pt>
                <c:pt idx="17">
                  <c:v>1424.2252603036306</c:v>
                </c:pt>
                <c:pt idx="18">
                  <c:v>1431.5467349402697</c:v>
                </c:pt>
                <c:pt idx="19">
                  <c:v>1440.6605602700872</c:v>
                </c:pt>
                <c:pt idx="20">
                  <c:v>1449.6847675388249</c:v>
                </c:pt>
                <c:pt idx="21">
                  <c:v>1459.53312254915</c:v>
                </c:pt>
                <c:pt idx="22">
                  <c:v>1471.1104253219155</c:v>
                </c:pt>
                <c:pt idx="23">
                  <c:v>1483.6068267830804</c:v>
                </c:pt>
                <c:pt idx="24">
                  <c:v>1498.1907971897124</c:v>
                </c:pt>
                <c:pt idx="25">
                  <c:v>1509.9520491163021</c:v>
                </c:pt>
                <c:pt idx="26">
                  <c:v>1521.3407121490407</c:v>
                </c:pt>
                <c:pt idx="27">
                  <c:v>1534.0662850457779</c:v>
                </c:pt>
                <c:pt idx="28">
                  <c:v>1546.6975423702181</c:v>
                </c:pt>
                <c:pt idx="29">
                  <c:v>1559.9829496906668</c:v>
                </c:pt>
                <c:pt idx="30">
                  <c:v>1573.4365376598453</c:v>
                </c:pt>
                <c:pt idx="31">
                  <c:v>1588.2368310322743</c:v>
                </c:pt>
                <c:pt idx="32">
                  <c:v>1602.6092002822506</c:v>
                </c:pt>
                <c:pt idx="33">
                  <c:v>1617.2967832924933</c:v>
                </c:pt>
                <c:pt idx="34">
                  <c:v>1632.4995989220338</c:v>
                </c:pt>
                <c:pt idx="35">
                  <c:v>1648.2999227703142</c:v>
                </c:pt>
                <c:pt idx="36">
                  <c:v>1665.8683733156849</c:v>
                </c:pt>
                <c:pt idx="37">
                  <c:v>1678.4803252735883</c:v>
                </c:pt>
                <c:pt idx="38">
                  <c:v>1691.5419984730534</c:v>
                </c:pt>
                <c:pt idx="39">
                  <c:v>1704.2188779044377</c:v>
                </c:pt>
                <c:pt idx="40">
                  <c:v>1716.9719571983092</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16422.85727496622</c:v>
                </c:pt>
                <c:pt idx="11">
                  <c:v>15979.833484794162</c:v>
                </c:pt>
                <c:pt idx="12">
                  <c:v>15434.501522964913</c:v>
                </c:pt>
                <c:pt idx="13">
                  <c:v>14855.073965653686</c:v>
                </c:pt>
                <c:pt idx="14">
                  <c:v>14299.250536718746</c:v>
                </c:pt>
                <c:pt idx="15">
                  <c:v>13765.332476238824</c:v>
                </c:pt>
                <c:pt idx="16">
                  <c:v>13251.693920662827</c:v>
                </c:pt>
                <c:pt idx="17">
                  <c:v>12756.698370639615</c:v>
                </c:pt>
                <c:pt idx="18">
                  <c:v>12278.864879322158</c:v>
                </c:pt>
                <c:pt idx="19">
                  <c:v>11816.774174360922</c:v>
                </c:pt>
                <c:pt idx="20">
                  <c:v>11369.065259960647</c:v>
                </c:pt>
                <c:pt idx="21">
                  <c:v>10934.432159779775</c:v>
                </c:pt>
                <c:pt idx="22">
                  <c:v>10508.992764168599</c:v>
                </c:pt>
                <c:pt idx="23">
                  <c:v>10092.250310627282</c:v>
                </c:pt>
                <c:pt idx="24">
                  <c:v>9696.0757403764201</c:v>
                </c:pt>
                <c:pt idx="25">
                  <c:v>9319.466244422918</c:v>
                </c:pt>
                <c:pt idx="26">
                  <c:v>8961.4678791864935</c:v>
                </c:pt>
                <c:pt idx="27">
                  <c:v>8622.1079986674104</c:v>
                </c:pt>
                <c:pt idx="28">
                  <c:v>8314.3318727261831</c:v>
                </c:pt>
                <c:pt idx="29">
                  <c:v>8031.2069973134085</c:v>
                </c:pt>
                <c:pt idx="30">
                  <c:v>7771.6726857484191</c:v>
                </c:pt>
                <c:pt idx="31">
                  <c:v>7534.7072337743411</c:v>
                </c:pt>
                <c:pt idx="32">
                  <c:v>7314.7930089886077</c:v>
                </c:pt>
                <c:pt idx="33">
                  <c:v>7111.1408065284713</c:v>
                </c:pt>
                <c:pt idx="34">
                  <c:v>6923.0141684141936</c:v>
                </c:pt>
                <c:pt idx="35">
                  <c:v>6749.7151519113349</c:v>
                </c:pt>
                <c:pt idx="36">
                  <c:v>6590.5797808186699</c:v>
                </c:pt>
                <c:pt idx="37">
                  <c:v>6440.484985273757</c:v>
                </c:pt>
                <c:pt idx="38">
                  <c:v>6298.8473485040813</c:v>
                </c:pt>
                <c:pt idx="39">
                  <c:v>6165.2593004176542</c:v>
                </c:pt>
                <c:pt idx="40">
                  <c:v>6039.3124690438972</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965.18873138103606</c:v>
                </c:pt>
                <c:pt idx="10">
                  <c:v>1048.4613635432911</c:v>
                </c:pt>
                <c:pt idx="11">
                  <c:v>1272.7485031807246</c:v>
                </c:pt>
                <c:pt idx="12">
                  <c:v>1382.3162923532975</c:v>
                </c:pt>
                <c:pt idx="13">
                  <c:v>1390.4649587759375</c:v>
                </c:pt>
                <c:pt idx="14">
                  <c:v>1399.7035617803256</c:v>
                </c:pt>
                <c:pt idx="15">
                  <c:v>1408.523885703722</c:v>
                </c:pt>
                <c:pt idx="16">
                  <c:v>1416.5017198515443</c:v>
                </c:pt>
                <c:pt idx="17">
                  <c:v>1424.2252603036306</c:v>
                </c:pt>
                <c:pt idx="18">
                  <c:v>1431.5467349402697</c:v>
                </c:pt>
                <c:pt idx="19">
                  <c:v>1440.6605602700872</c:v>
                </c:pt>
                <c:pt idx="20">
                  <c:v>1449.6847675388249</c:v>
                </c:pt>
                <c:pt idx="21">
                  <c:v>1459.53312254915</c:v>
                </c:pt>
                <c:pt idx="22">
                  <c:v>1471.1104253219155</c:v>
                </c:pt>
                <c:pt idx="23">
                  <c:v>1483.6068267830804</c:v>
                </c:pt>
                <c:pt idx="24">
                  <c:v>1498.1907971897124</c:v>
                </c:pt>
                <c:pt idx="25">
                  <c:v>1509.9520491163021</c:v>
                </c:pt>
                <c:pt idx="26">
                  <c:v>1521.3407121490407</c:v>
                </c:pt>
                <c:pt idx="27">
                  <c:v>1534.0662850457779</c:v>
                </c:pt>
                <c:pt idx="28">
                  <c:v>1546.6975423702181</c:v>
                </c:pt>
                <c:pt idx="29">
                  <c:v>1559.9829496906668</c:v>
                </c:pt>
                <c:pt idx="30">
                  <c:v>1573.4365376598453</c:v>
                </c:pt>
                <c:pt idx="31">
                  <c:v>1588.2368310322743</c:v>
                </c:pt>
                <c:pt idx="32">
                  <c:v>1602.6092002822506</c:v>
                </c:pt>
                <c:pt idx="33">
                  <c:v>1617.2967832924933</c:v>
                </c:pt>
                <c:pt idx="34">
                  <c:v>1632.4995989220338</c:v>
                </c:pt>
                <c:pt idx="35">
                  <c:v>1648.2999227703142</c:v>
                </c:pt>
                <c:pt idx="36">
                  <c:v>1665.8683733156849</c:v>
                </c:pt>
                <c:pt idx="37">
                  <c:v>1678.4803252735883</c:v>
                </c:pt>
                <c:pt idx="38">
                  <c:v>1691.5419984730534</c:v>
                </c:pt>
                <c:pt idx="39">
                  <c:v>1704.2188779044377</c:v>
                </c:pt>
                <c:pt idx="40">
                  <c:v>1716.9719571983092</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16422.879817767895</c:v>
                </c:pt>
                <c:pt idx="11">
                  <c:v>15979.878195263984</c:v>
                </c:pt>
                <c:pt idx="12">
                  <c:v>15434.575297455343</c:v>
                </c:pt>
                <c:pt idx="13">
                  <c:v>14855.183484331827</c:v>
                </c:pt>
                <c:pt idx="14">
                  <c:v>14299.40227934062</c:v>
                </c:pt>
                <c:pt idx="15">
                  <c:v>13765.532737053807</c:v>
                </c:pt>
                <c:pt idx="16">
                  <c:v>13251.948822499551</c:v>
                </c:pt>
                <c:pt idx="17">
                  <c:v>12757.013753824194</c:v>
                </c:pt>
                <c:pt idx="18">
                  <c:v>12279.246415314936</c:v>
                </c:pt>
                <c:pt idx="19">
                  <c:v>11817.227378088099</c:v>
                </c:pt>
                <c:pt idx="20">
                  <c:v>11369.59550146031</c:v>
                </c:pt>
                <c:pt idx="21">
                  <c:v>10935.044675202747</c:v>
                </c:pt>
                <c:pt idx="22">
                  <c:v>10509.683727931184</c:v>
                </c:pt>
                <c:pt idx="23">
                  <c:v>10093.016128171786</c:v>
                </c:pt>
                <c:pt idx="24">
                  <c:v>9696.9130347875671</c:v>
                </c:pt>
                <c:pt idx="25">
                  <c:v>9320.371843824285</c:v>
                </c:pt>
                <c:pt idx="26">
                  <c:v>8962.4388048715136</c:v>
                </c:pt>
                <c:pt idx="27">
                  <c:v>8623.1413106966011</c:v>
                </c:pt>
                <c:pt idx="28">
                  <c:v>8315.4248086969801</c:v>
                </c:pt>
                <c:pt idx="29">
                  <c:v>8032.3569620675407</c:v>
                </c:pt>
                <c:pt idx="30">
                  <c:v>7772.8772416790343</c:v>
                </c:pt>
                <c:pt idx="31">
                  <c:v>7535.9640916979361</c:v>
                </c:pt>
                <c:pt idx="32">
                  <c:v>7316.0998836017352</c:v>
                </c:pt>
                <c:pt idx="33">
                  <c:v>7112.4955503369783</c:v>
                </c:pt>
                <c:pt idx="34">
                  <c:v>6924.4147637371716</c:v>
                </c:pt>
                <c:pt idx="35">
                  <c:v>6751.159703350907</c:v>
                </c:pt>
                <c:pt idx="36">
                  <c:v>6592.0665081684811</c:v>
                </c:pt>
                <c:pt idx="37">
                  <c:v>6442.0120771414804</c:v>
                </c:pt>
                <c:pt idx="38">
                  <c:v>6300.4131022759711</c:v>
                </c:pt>
                <c:pt idx="39">
                  <c:v>6166.8621159405739</c:v>
                </c:pt>
                <c:pt idx="40">
                  <c:v>6040.9508426753637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816.26125781570522</c:v>
                </c:pt>
                <c:pt idx="10">
                  <c:v>804.51721692365982</c:v>
                </c:pt>
                <c:pt idx="11">
                  <c:v>875.51711717739863</c:v>
                </c:pt>
                <c:pt idx="12">
                  <c:v>839.50989469043861</c:v>
                </c:pt>
                <c:pt idx="13">
                  <c:v>844.45875200202522</c:v>
                </c:pt>
                <c:pt idx="14">
                  <c:v>850.06955083164519</c:v>
                </c:pt>
                <c:pt idx="15">
                  <c:v>855.42631993653652</c:v>
                </c:pt>
                <c:pt idx="16">
                  <c:v>860.27142719769324</c:v>
                </c:pt>
                <c:pt idx="17">
                  <c:v>864.9620965238355</c:v>
                </c:pt>
                <c:pt idx="18">
                  <c:v>869.40858278402402</c:v>
                </c:pt>
                <c:pt idx="19">
                  <c:v>874.94360149514443</c:v>
                </c:pt>
                <c:pt idx="20">
                  <c:v>880.42419326401171</c:v>
                </c:pt>
                <c:pt idx="21">
                  <c:v>886.40530737177983</c:v>
                </c:pt>
                <c:pt idx="22">
                  <c:v>893.43644799084723</c:v>
                </c:pt>
                <c:pt idx="23">
                  <c:v>901.02577666526497</c:v>
                </c:pt>
                <c:pt idx="24">
                  <c:v>909.88293007361904</c:v>
                </c:pt>
                <c:pt idx="25">
                  <c:v>917.02578690091559</c:v>
                </c:pt>
                <c:pt idx="26">
                  <c:v>923.94236261963351</c:v>
                </c:pt>
                <c:pt idx="27">
                  <c:v>931.67087194959868</c:v>
                </c:pt>
                <c:pt idx="28">
                  <c:v>939.34210143948371</c:v>
                </c:pt>
                <c:pt idx="29">
                  <c:v>947.41061004508049</c:v>
                </c:pt>
                <c:pt idx="30">
                  <c:v>955.58125831255165</c:v>
                </c:pt>
                <c:pt idx="31">
                  <c:v>964.56978922925146</c:v>
                </c:pt>
                <c:pt idx="32">
                  <c:v>973.2984327837296</c:v>
                </c:pt>
                <c:pt idx="33">
                  <c:v>982.21851231574033</c:v>
                </c:pt>
                <c:pt idx="34">
                  <c:v>991.45150350506196</c:v>
                </c:pt>
                <c:pt idx="35">
                  <c:v>1001.047374061838</c:v>
                </c:pt>
                <c:pt idx="36">
                  <c:v>1011.7170653248336</c:v>
                </c:pt>
                <c:pt idx="37">
                  <c:v>1019.3765702576699</c:v>
                </c:pt>
                <c:pt idx="38">
                  <c:v>1027.3092004037678</c:v>
                </c:pt>
                <c:pt idx="39">
                  <c:v>1035.0081371632609</c:v>
                </c:pt>
                <c:pt idx="40">
                  <c:v>1042.7533517094557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16422.879817767895</c:v>
                </c:pt>
                <c:pt idx="11">
                  <c:v>15979.878195263984</c:v>
                </c:pt>
                <c:pt idx="12">
                  <c:v>15434.575297455343</c:v>
                </c:pt>
                <c:pt idx="13">
                  <c:v>14855.183484331827</c:v>
                </c:pt>
                <c:pt idx="14">
                  <c:v>14299.40227934062</c:v>
                </c:pt>
                <c:pt idx="15">
                  <c:v>13765.532737053807</c:v>
                </c:pt>
                <c:pt idx="16">
                  <c:v>13251.948822499551</c:v>
                </c:pt>
                <c:pt idx="17">
                  <c:v>12757.013753824194</c:v>
                </c:pt>
                <c:pt idx="18">
                  <c:v>12279.246415314936</c:v>
                </c:pt>
                <c:pt idx="19">
                  <c:v>11817.227378088099</c:v>
                </c:pt>
                <c:pt idx="20">
                  <c:v>11369.59550146031</c:v>
                </c:pt>
                <c:pt idx="21">
                  <c:v>10935.044675202747</c:v>
                </c:pt>
                <c:pt idx="22">
                  <c:v>10509.683727931184</c:v>
                </c:pt>
                <c:pt idx="23">
                  <c:v>10093.016128171786</c:v>
                </c:pt>
                <c:pt idx="24">
                  <c:v>9696.9130347875671</c:v>
                </c:pt>
                <c:pt idx="25">
                  <c:v>9320.371843824285</c:v>
                </c:pt>
                <c:pt idx="26">
                  <c:v>8962.4388048715136</c:v>
                </c:pt>
                <c:pt idx="27">
                  <c:v>8623.1413106966011</c:v>
                </c:pt>
                <c:pt idx="28">
                  <c:v>8315.4248086969801</c:v>
                </c:pt>
                <c:pt idx="29">
                  <c:v>8032.3569620675407</c:v>
                </c:pt>
                <c:pt idx="30">
                  <c:v>7772.8772416790343</c:v>
                </c:pt>
                <c:pt idx="31">
                  <c:v>7535.9640916979361</c:v>
                </c:pt>
                <c:pt idx="32">
                  <c:v>7316.0998836017352</c:v>
                </c:pt>
                <c:pt idx="33">
                  <c:v>7112.4955503369783</c:v>
                </c:pt>
                <c:pt idx="34">
                  <c:v>6924.4147637371716</c:v>
                </c:pt>
                <c:pt idx="35">
                  <c:v>6751.159703350907</c:v>
                </c:pt>
                <c:pt idx="36">
                  <c:v>6592.0665081684811</c:v>
                </c:pt>
                <c:pt idx="37">
                  <c:v>6442.0120771414804</c:v>
                </c:pt>
                <c:pt idx="38">
                  <c:v>6300.4131022759711</c:v>
                </c:pt>
                <c:pt idx="39">
                  <c:v>6166.8621159405739</c:v>
                </c:pt>
                <c:pt idx="40">
                  <c:v>6040.9508426753637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816.26125781570499</c:v>
                </c:pt>
                <c:pt idx="10">
                  <c:v>804.51721692365982</c:v>
                </c:pt>
                <c:pt idx="11">
                  <c:v>875.51711717739852</c:v>
                </c:pt>
                <c:pt idx="12">
                  <c:v>839.50989469043861</c:v>
                </c:pt>
                <c:pt idx="13">
                  <c:v>844.45875200202522</c:v>
                </c:pt>
                <c:pt idx="14">
                  <c:v>850.06955083164519</c:v>
                </c:pt>
                <c:pt idx="15">
                  <c:v>855.42631993653652</c:v>
                </c:pt>
                <c:pt idx="16">
                  <c:v>860.27142719769324</c:v>
                </c:pt>
                <c:pt idx="17">
                  <c:v>864.9620965238355</c:v>
                </c:pt>
                <c:pt idx="18">
                  <c:v>869.40858278402402</c:v>
                </c:pt>
                <c:pt idx="19">
                  <c:v>874.94360149514443</c:v>
                </c:pt>
                <c:pt idx="20">
                  <c:v>880.42419326401171</c:v>
                </c:pt>
                <c:pt idx="21">
                  <c:v>886.40530737177983</c:v>
                </c:pt>
                <c:pt idx="22">
                  <c:v>893.43644799084723</c:v>
                </c:pt>
                <c:pt idx="23">
                  <c:v>901.02577666526497</c:v>
                </c:pt>
                <c:pt idx="24">
                  <c:v>909.88293007361904</c:v>
                </c:pt>
                <c:pt idx="25">
                  <c:v>917.02578690091559</c:v>
                </c:pt>
                <c:pt idx="26">
                  <c:v>923.94236261963351</c:v>
                </c:pt>
                <c:pt idx="27">
                  <c:v>931.67087194959868</c:v>
                </c:pt>
                <c:pt idx="28">
                  <c:v>939.34210143948371</c:v>
                </c:pt>
                <c:pt idx="29">
                  <c:v>947.41061004508049</c:v>
                </c:pt>
                <c:pt idx="30">
                  <c:v>955.58125831255165</c:v>
                </c:pt>
                <c:pt idx="31">
                  <c:v>964.56978922925146</c:v>
                </c:pt>
                <c:pt idx="32">
                  <c:v>973.2984327837296</c:v>
                </c:pt>
                <c:pt idx="33">
                  <c:v>982.21851231574033</c:v>
                </c:pt>
                <c:pt idx="34">
                  <c:v>991.45150350506196</c:v>
                </c:pt>
                <c:pt idx="35">
                  <c:v>1001.047374061838</c:v>
                </c:pt>
                <c:pt idx="36">
                  <c:v>1011.7170653248336</c:v>
                </c:pt>
                <c:pt idx="37">
                  <c:v>1019.3765702576699</c:v>
                </c:pt>
                <c:pt idx="38">
                  <c:v>1027.3092004037678</c:v>
                </c:pt>
                <c:pt idx="39">
                  <c:v>1035.0081371632609</c:v>
                </c:pt>
                <c:pt idx="40">
                  <c:v>1042.7533517094557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39101.343203376688</c:v>
                </c:pt>
                <c:pt idx="7">
                  <c:v>38622.475202529524</c:v>
                </c:pt>
                <c:pt idx="8">
                  <c:v>37386.170634721551</c:v>
                </c:pt>
                <c:pt idx="9">
                  <c:v>35585.129557862114</c:v>
                </c:pt>
                <c:pt idx="10">
                  <c:v>33450.235655449265</c:v>
                </c:pt>
                <c:pt idx="11">
                  <c:v>31644.171684493736</c:v>
                </c:pt>
                <c:pt idx="12">
                  <c:v>29401.792768631756</c:v>
                </c:pt>
                <c:pt idx="13">
                  <c:v>27312.812305398078</c:v>
                </c:pt>
                <c:pt idx="14">
                  <c:v>26451.312318932665</c:v>
                </c:pt>
                <c:pt idx="15">
                  <c:v>25159.78399013642</c:v>
                </c:pt>
                <c:pt idx="16">
                  <c:v>24633.728413549517</c:v>
                </c:pt>
                <c:pt idx="17">
                  <c:v>24293.138621550363</c:v>
                </c:pt>
                <c:pt idx="18">
                  <c:v>19165.020085319313</c:v>
                </c:pt>
                <c:pt idx="19">
                  <c:v>13687.941669523079</c:v>
                </c:pt>
                <c:pt idx="20">
                  <c:v>13687.941669523076</c:v>
                </c:pt>
                <c:pt idx="21">
                  <c:v>13687.941669523078</c:v>
                </c:pt>
                <c:pt idx="22">
                  <c:v>13687.941669523076</c:v>
                </c:pt>
                <c:pt idx="23">
                  <c:v>13687.941669523081</c:v>
                </c:pt>
                <c:pt idx="24">
                  <c:v>13687.941669523074</c:v>
                </c:pt>
                <c:pt idx="25">
                  <c:v>13687.941669523081</c:v>
                </c:pt>
                <c:pt idx="26">
                  <c:v>13687.941669523076</c:v>
                </c:pt>
                <c:pt idx="27">
                  <c:v>13687.941669523083</c:v>
                </c:pt>
                <c:pt idx="28">
                  <c:v>13687.941669523074</c:v>
                </c:pt>
                <c:pt idx="29">
                  <c:v>13687.941669523087</c:v>
                </c:pt>
                <c:pt idx="30">
                  <c:v>13687.941669523076</c:v>
                </c:pt>
                <c:pt idx="31">
                  <c:v>13687.941669523076</c:v>
                </c:pt>
                <c:pt idx="32">
                  <c:v>13687.941669523083</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10352.528410102976</c:v>
                </c:pt>
                <c:pt idx="3">
                  <c:v>11145.306372519357</c:v>
                </c:pt>
                <c:pt idx="4">
                  <c:v>12631.80009892837</c:v>
                </c:pt>
                <c:pt idx="5">
                  <c:v>13897.124532895406</c:v>
                </c:pt>
                <c:pt idx="6">
                  <c:v>15226.978225597468</c:v>
                </c:pt>
                <c:pt idx="7">
                  <c:v>16907.023632319295</c:v>
                </c:pt>
                <c:pt idx="8">
                  <c:v>18379.593260585112</c:v>
                </c:pt>
                <c:pt idx="9">
                  <c:v>19613.983219645612</c:v>
                </c:pt>
                <c:pt idx="10">
                  <c:v>20635.731978531978</c:v>
                </c:pt>
                <c:pt idx="11">
                  <c:v>21731.533068423185</c:v>
                </c:pt>
                <c:pt idx="12">
                  <c:v>22522.162528169356</c:v>
                </c:pt>
                <c:pt idx="13">
                  <c:v>23278.253165350783</c:v>
                </c:pt>
                <c:pt idx="14">
                  <c:v>22824.911228952824</c:v>
                </c:pt>
                <c:pt idx="15">
                  <c:v>22106.124617340491</c:v>
                </c:pt>
                <c:pt idx="16">
                  <c:v>21908.944706902541</c:v>
                </c:pt>
                <c:pt idx="17">
                  <c:v>21861.055358708316</c:v>
                </c:pt>
                <c:pt idx="18">
                  <c:v>18586.801838680862</c:v>
                </c:pt>
                <c:pt idx="19">
                  <c:v>14950.11140144718</c:v>
                </c:pt>
                <c:pt idx="20">
                  <c:v>13218.894697914573</c:v>
                </c:pt>
                <c:pt idx="21">
                  <c:v>12196.697904390883</c:v>
                </c:pt>
                <c:pt idx="22">
                  <c:v>11182.537632279847</c:v>
                </c:pt>
                <c:pt idx="23">
                  <c:v>10170.443533665652</c:v>
                </c:pt>
                <c:pt idx="24">
                  <c:v>9735.2558907040348</c:v>
                </c:pt>
                <c:pt idx="25">
                  <c:v>9294.8110110320795</c:v>
                </c:pt>
                <c:pt idx="26">
                  <c:v>8858.2386715258344</c:v>
                </c:pt>
                <c:pt idx="27">
                  <c:v>8427.9961921476224</c:v>
                </c:pt>
                <c:pt idx="28">
                  <c:v>8005.094364949251</c:v>
                </c:pt>
                <c:pt idx="29">
                  <c:v>8140.6267187900776</c:v>
                </c:pt>
                <c:pt idx="30">
                  <c:v>8215.2662999135937</c:v>
                </c:pt>
                <c:pt idx="31">
                  <c:v>8295.4309049759559</c:v>
                </c:pt>
                <c:pt idx="32">
                  <c:v>8370.8681487671874</c:v>
                </c:pt>
                <c:pt idx="33">
                  <c:v>8447.2415415001888</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2562.551002317176</c:v>
                </c:pt>
                <c:pt idx="3">
                  <c:v>2560.6366375303887</c:v>
                </c:pt>
                <c:pt idx="4">
                  <c:v>2935.6191232226211</c:v>
                </c:pt>
                <c:pt idx="5">
                  <c:v>3145.7858208059524</c:v>
                </c:pt>
                <c:pt idx="6">
                  <c:v>3202.2796257327404</c:v>
                </c:pt>
                <c:pt idx="7">
                  <c:v>3266.3298406827407</c:v>
                </c:pt>
                <c:pt idx="8">
                  <c:v>3327.4801729303604</c:v>
                </c:pt>
                <c:pt idx="9">
                  <c:v>3382.7896165508691</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39101.343203376688</c:v>
                </c:pt>
                <c:pt idx="7">
                  <c:v>38622.475202529524</c:v>
                </c:pt>
                <c:pt idx="8">
                  <c:v>37386.170634721551</c:v>
                </c:pt>
                <c:pt idx="9">
                  <c:v>35585.129557862114</c:v>
                </c:pt>
                <c:pt idx="10">
                  <c:v>33450.235655449265</c:v>
                </c:pt>
                <c:pt idx="11">
                  <c:v>31644.171684493736</c:v>
                </c:pt>
                <c:pt idx="12">
                  <c:v>29401.792768631756</c:v>
                </c:pt>
                <c:pt idx="13">
                  <c:v>27312.812305398078</c:v>
                </c:pt>
                <c:pt idx="14">
                  <c:v>26451.312318932665</c:v>
                </c:pt>
                <c:pt idx="15">
                  <c:v>25159.78399013642</c:v>
                </c:pt>
                <c:pt idx="16">
                  <c:v>24633.728413549517</c:v>
                </c:pt>
                <c:pt idx="17">
                  <c:v>24293.138621550363</c:v>
                </c:pt>
                <c:pt idx="18">
                  <c:v>19165.020085319313</c:v>
                </c:pt>
                <c:pt idx="19">
                  <c:v>13687.941669523079</c:v>
                </c:pt>
                <c:pt idx="20">
                  <c:v>13687.941669523076</c:v>
                </c:pt>
                <c:pt idx="21">
                  <c:v>13687.941669523078</c:v>
                </c:pt>
                <c:pt idx="22">
                  <c:v>13687.941669523076</c:v>
                </c:pt>
                <c:pt idx="23">
                  <c:v>13687.941669523081</c:v>
                </c:pt>
                <c:pt idx="24">
                  <c:v>13687.941669523074</c:v>
                </c:pt>
                <c:pt idx="25">
                  <c:v>13687.941669523081</c:v>
                </c:pt>
                <c:pt idx="26">
                  <c:v>13687.941669523076</c:v>
                </c:pt>
                <c:pt idx="27">
                  <c:v>13687.941669523083</c:v>
                </c:pt>
                <c:pt idx="28">
                  <c:v>13687.941669523074</c:v>
                </c:pt>
                <c:pt idx="29">
                  <c:v>13687.941669523087</c:v>
                </c:pt>
                <c:pt idx="30">
                  <c:v>13687.941669523076</c:v>
                </c:pt>
                <c:pt idx="31">
                  <c:v>13687.941669523076</c:v>
                </c:pt>
                <c:pt idx="32">
                  <c:v>13687.941669523083</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10352.528410102976</c:v>
                </c:pt>
                <c:pt idx="3">
                  <c:v>11145.306372519357</c:v>
                </c:pt>
                <c:pt idx="4">
                  <c:v>12631.80009892837</c:v>
                </c:pt>
                <c:pt idx="5">
                  <c:v>13897.124532895406</c:v>
                </c:pt>
                <c:pt idx="6">
                  <c:v>15226.978225597468</c:v>
                </c:pt>
                <c:pt idx="7">
                  <c:v>16907.023632319295</c:v>
                </c:pt>
                <c:pt idx="8">
                  <c:v>18379.593260585112</c:v>
                </c:pt>
                <c:pt idx="9">
                  <c:v>19613.983219645612</c:v>
                </c:pt>
                <c:pt idx="10">
                  <c:v>20635.731978531978</c:v>
                </c:pt>
                <c:pt idx="11">
                  <c:v>21731.533068423185</c:v>
                </c:pt>
                <c:pt idx="12">
                  <c:v>22522.162528169356</c:v>
                </c:pt>
                <c:pt idx="13">
                  <c:v>23278.253165350783</c:v>
                </c:pt>
                <c:pt idx="14">
                  <c:v>22824.911228952824</c:v>
                </c:pt>
                <c:pt idx="15">
                  <c:v>22106.124617340491</c:v>
                </c:pt>
                <c:pt idx="16">
                  <c:v>21908.944706902541</c:v>
                </c:pt>
                <c:pt idx="17">
                  <c:v>21861.055358708316</c:v>
                </c:pt>
                <c:pt idx="18">
                  <c:v>18586.801838680862</c:v>
                </c:pt>
                <c:pt idx="19">
                  <c:v>14950.11140144718</c:v>
                </c:pt>
                <c:pt idx="20">
                  <c:v>13218.894697914573</c:v>
                </c:pt>
                <c:pt idx="21">
                  <c:v>12196.697904390883</c:v>
                </c:pt>
                <c:pt idx="22">
                  <c:v>11182.537632279847</c:v>
                </c:pt>
                <c:pt idx="23">
                  <c:v>10170.443533665652</c:v>
                </c:pt>
                <c:pt idx="24">
                  <c:v>9735.2558907040348</c:v>
                </c:pt>
                <c:pt idx="25">
                  <c:v>9294.8110110320795</c:v>
                </c:pt>
                <c:pt idx="26">
                  <c:v>8858.2386715258344</c:v>
                </c:pt>
                <c:pt idx="27">
                  <c:v>8427.9961921476224</c:v>
                </c:pt>
                <c:pt idx="28">
                  <c:v>8005.094364949251</c:v>
                </c:pt>
                <c:pt idx="29">
                  <c:v>8140.6267187900776</c:v>
                </c:pt>
                <c:pt idx="30">
                  <c:v>8215.2662999135937</c:v>
                </c:pt>
                <c:pt idx="31">
                  <c:v>8295.4309049759559</c:v>
                </c:pt>
                <c:pt idx="32">
                  <c:v>8370.8681487671874</c:v>
                </c:pt>
                <c:pt idx="33">
                  <c:v>8447.2415415001888</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2562.551002317176</c:v>
                </c:pt>
                <c:pt idx="3">
                  <c:v>2560.6366375303887</c:v>
                </c:pt>
                <c:pt idx="4">
                  <c:v>2935.6191232226211</c:v>
                </c:pt>
                <c:pt idx="5">
                  <c:v>3145.7858208059524</c:v>
                </c:pt>
                <c:pt idx="6">
                  <c:v>3202.2796257327404</c:v>
                </c:pt>
                <c:pt idx="7">
                  <c:v>3266.3298406827407</c:v>
                </c:pt>
                <c:pt idx="8">
                  <c:v>3327.4801729303604</c:v>
                </c:pt>
                <c:pt idx="9">
                  <c:v>3382.7896165508691</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44693.521084233515</c:v>
                </c:pt>
                <c:pt idx="9">
                  <c:v>43503.794163902909</c:v>
                </c:pt>
                <c:pt idx="10">
                  <c:v>41812.448125176605</c:v>
                </c:pt>
                <c:pt idx="11">
                  <c:v>40432.489916796272</c:v>
                </c:pt>
                <c:pt idx="12">
                  <c:v>38386.148266469281</c:v>
                </c:pt>
                <c:pt idx="13">
                  <c:v>36417.083073864102</c:v>
                </c:pt>
                <c:pt idx="14">
                  <c:v>35268.416425243558</c:v>
                </c:pt>
                <c:pt idx="15">
                  <c:v>33546.378653515232</c:v>
                </c:pt>
                <c:pt idx="16">
                  <c:v>32844.971218066021</c:v>
                </c:pt>
                <c:pt idx="17">
                  <c:v>32390.851495400486</c:v>
                </c:pt>
                <c:pt idx="18">
                  <c:v>28630.384101050153</c:v>
                </c:pt>
                <c:pt idx="19">
                  <c:v>27627.206795850379</c:v>
                </c:pt>
                <c:pt idx="20">
                  <c:v>26659.179724825452</c:v>
                </c:pt>
                <c:pt idx="21">
                  <c:v>25725.071262263598</c:v>
                </c:pt>
                <c:pt idx="22">
                  <c:v>24823.692937269232</c:v>
                </c:pt>
                <c:pt idx="23">
                  <c:v>23953.897921665393</c:v>
                </c:pt>
                <c:pt idx="24">
                  <c:v>22650.218174049241</c:v>
                </c:pt>
                <c:pt idx="25">
                  <c:v>21417.490590039302</c:v>
                </c:pt>
                <c:pt idx="26">
                  <c:v>20251.853631148373</c:v>
                </c:pt>
                <c:pt idx="27">
                  <c:v>19149.65592132448</c:v>
                </c:pt>
                <c:pt idx="28">
                  <c:v>18107.444808958164</c:v>
                </c:pt>
                <c:pt idx="29">
                  <c:v>17121.955551397077</c:v>
                </c:pt>
                <c:pt idx="30">
                  <c:v>16190.101088088573</c:v>
                </c:pt>
                <c:pt idx="31">
                  <c:v>15308.962370313993</c:v>
                </c:pt>
                <c:pt idx="32">
                  <c:v>14475.779217222869</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8221.5351353750812</c:v>
                </c:pt>
                <c:pt idx="3">
                  <c:v>8135.2454256007841</c:v>
                </c:pt>
                <c:pt idx="4">
                  <c:v>8671.4048201616661</c:v>
                </c:pt>
                <c:pt idx="5">
                  <c:v>9119.0188135422432</c:v>
                </c:pt>
                <c:pt idx="6">
                  <c:v>9642.2869823339024</c:v>
                </c:pt>
                <c:pt idx="7">
                  <c:v>10384.988751509649</c:v>
                </c:pt>
                <c:pt idx="8">
                  <c:v>11072.242811073149</c:v>
                </c:pt>
                <c:pt idx="9">
                  <c:v>11695.318613604813</c:v>
                </c:pt>
                <c:pt idx="10">
                  <c:v>12273.519508804635</c:v>
                </c:pt>
                <c:pt idx="11">
                  <c:v>12943.214836120649</c:v>
                </c:pt>
                <c:pt idx="12">
                  <c:v>13537.807030331835</c:v>
                </c:pt>
                <c:pt idx="13">
                  <c:v>14173.982396884756</c:v>
                </c:pt>
                <c:pt idx="14">
                  <c:v>14007.807122641934</c:v>
                </c:pt>
                <c:pt idx="15">
                  <c:v>13719.529953961683</c:v>
                </c:pt>
                <c:pt idx="16">
                  <c:v>13697.701902386038</c:v>
                </c:pt>
                <c:pt idx="17">
                  <c:v>13763.342484858193</c:v>
                </c:pt>
                <c:pt idx="18">
                  <c:v>12198.461810241093</c:v>
                </c:pt>
                <c:pt idx="19">
                  <c:v>10450.073967518601</c:v>
                </c:pt>
                <c:pt idx="20">
                  <c:v>9662.6352555114918</c:v>
                </c:pt>
                <c:pt idx="21">
                  <c:v>9229.1271442927318</c:v>
                </c:pt>
                <c:pt idx="22">
                  <c:v>8803.6555544866223</c:v>
                </c:pt>
                <c:pt idx="23">
                  <c:v>8380.2501381773545</c:v>
                </c:pt>
                <c:pt idx="24">
                  <c:v>8253.5703848207249</c:v>
                </c:pt>
                <c:pt idx="25">
                  <c:v>8121.633394753756</c:v>
                </c:pt>
                <c:pt idx="26">
                  <c:v>7993.5689448524972</c:v>
                </c:pt>
                <c:pt idx="27">
                  <c:v>7871.8343550792715</c:v>
                </c:pt>
                <c:pt idx="28">
                  <c:v>7757.4404174858864</c:v>
                </c:pt>
                <c:pt idx="29">
                  <c:v>7933.1246788338321</c:v>
                </c:pt>
                <c:pt idx="30">
                  <c:v>8047.9161674644693</c:v>
                </c:pt>
                <c:pt idx="31">
                  <c:v>8168.2326800339515</c:v>
                </c:pt>
                <c:pt idx="32">
                  <c:v>8283.8218313323032</c:v>
                </c:pt>
                <c:pt idx="33">
                  <c:v>8400.3471315724237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2562.551002317176</c:v>
                </c:pt>
                <c:pt idx="3">
                  <c:v>2485.4449375303884</c:v>
                </c:pt>
                <c:pt idx="4">
                  <c:v>2634.8523232226207</c:v>
                </c:pt>
                <c:pt idx="5">
                  <c:v>2769.8273208059522</c:v>
                </c:pt>
                <c:pt idx="6">
                  <c:v>2901.5128257327401</c:v>
                </c:pt>
                <c:pt idx="7">
                  <c:v>3040.7547406827407</c:v>
                </c:pt>
                <c:pt idx="8">
                  <c:v>3177.0967729303602</c:v>
                </c:pt>
                <c:pt idx="9">
                  <c:v>3307.5979165508688</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44693.521084233515</c:v>
                </c:pt>
                <c:pt idx="9">
                  <c:v>43503.794163902909</c:v>
                </c:pt>
                <c:pt idx="10">
                  <c:v>41812.448125176605</c:v>
                </c:pt>
                <c:pt idx="11">
                  <c:v>40432.489916796272</c:v>
                </c:pt>
                <c:pt idx="12">
                  <c:v>38386.148266469281</c:v>
                </c:pt>
                <c:pt idx="13">
                  <c:v>36417.083073864102</c:v>
                </c:pt>
                <c:pt idx="14">
                  <c:v>35268.416425243558</c:v>
                </c:pt>
                <c:pt idx="15">
                  <c:v>33546.378653515232</c:v>
                </c:pt>
                <c:pt idx="16">
                  <c:v>32844.971218066021</c:v>
                </c:pt>
                <c:pt idx="17">
                  <c:v>32390.851495400486</c:v>
                </c:pt>
                <c:pt idx="18">
                  <c:v>28630.384101050153</c:v>
                </c:pt>
                <c:pt idx="19">
                  <c:v>27627.206795850379</c:v>
                </c:pt>
                <c:pt idx="20">
                  <c:v>26659.179724825452</c:v>
                </c:pt>
                <c:pt idx="21">
                  <c:v>25725.071262263598</c:v>
                </c:pt>
                <c:pt idx="22">
                  <c:v>24823.692937269232</c:v>
                </c:pt>
                <c:pt idx="23">
                  <c:v>23953.897921665393</c:v>
                </c:pt>
                <c:pt idx="24">
                  <c:v>22650.218174049241</c:v>
                </c:pt>
                <c:pt idx="25">
                  <c:v>21417.490590039302</c:v>
                </c:pt>
                <c:pt idx="26">
                  <c:v>20251.853631148373</c:v>
                </c:pt>
                <c:pt idx="27">
                  <c:v>19149.65592132448</c:v>
                </c:pt>
                <c:pt idx="28">
                  <c:v>18107.444808958164</c:v>
                </c:pt>
                <c:pt idx="29">
                  <c:v>17121.955551397077</c:v>
                </c:pt>
                <c:pt idx="30">
                  <c:v>16190.101088088573</c:v>
                </c:pt>
                <c:pt idx="31">
                  <c:v>15308.962370313993</c:v>
                </c:pt>
                <c:pt idx="32">
                  <c:v>14475.779217222869</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8221.5351353750812</c:v>
                </c:pt>
                <c:pt idx="3">
                  <c:v>8135.2454256007841</c:v>
                </c:pt>
                <c:pt idx="4">
                  <c:v>8671.4048201616661</c:v>
                </c:pt>
                <c:pt idx="5">
                  <c:v>9119.0188135422432</c:v>
                </c:pt>
                <c:pt idx="6">
                  <c:v>9642.2869823339024</c:v>
                </c:pt>
                <c:pt idx="7">
                  <c:v>10384.988751509649</c:v>
                </c:pt>
                <c:pt idx="8">
                  <c:v>11072.242811073149</c:v>
                </c:pt>
                <c:pt idx="9">
                  <c:v>11695.318613604813</c:v>
                </c:pt>
                <c:pt idx="10">
                  <c:v>12273.519508804635</c:v>
                </c:pt>
                <c:pt idx="11">
                  <c:v>12943.214836120649</c:v>
                </c:pt>
                <c:pt idx="12">
                  <c:v>13537.807030331835</c:v>
                </c:pt>
                <c:pt idx="13">
                  <c:v>14173.982396884756</c:v>
                </c:pt>
                <c:pt idx="14">
                  <c:v>14007.807122641934</c:v>
                </c:pt>
                <c:pt idx="15">
                  <c:v>13719.529953961683</c:v>
                </c:pt>
                <c:pt idx="16">
                  <c:v>13697.701902386038</c:v>
                </c:pt>
                <c:pt idx="17">
                  <c:v>13763.342484858193</c:v>
                </c:pt>
                <c:pt idx="18">
                  <c:v>12198.461810241093</c:v>
                </c:pt>
                <c:pt idx="19">
                  <c:v>10450.073967518601</c:v>
                </c:pt>
                <c:pt idx="20">
                  <c:v>9662.6352555114918</c:v>
                </c:pt>
                <c:pt idx="21">
                  <c:v>9229.1271442927318</c:v>
                </c:pt>
                <c:pt idx="22">
                  <c:v>8803.6555544866223</c:v>
                </c:pt>
                <c:pt idx="23">
                  <c:v>8380.2501381773545</c:v>
                </c:pt>
                <c:pt idx="24">
                  <c:v>8253.5703848207249</c:v>
                </c:pt>
                <c:pt idx="25">
                  <c:v>8121.633394753756</c:v>
                </c:pt>
                <c:pt idx="26">
                  <c:v>7993.5689448524972</c:v>
                </c:pt>
                <c:pt idx="27">
                  <c:v>7871.8343550792715</c:v>
                </c:pt>
                <c:pt idx="28">
                  <c:v>7757.4404174858864</c:v>
                </c:pt>
                <c:pt idx="29">
                  <c:v>7933.1246788338321</c:v>
                </c:pt>
                <c:pt idx="30">
                  <c:v>8047.9161674644693</c:v>
                </c:pt>
                <c:pt idx="31">
                  <c:v>8168.2326800339515</c:v>
                </c:pt>
                <c:pt idx="32">
                  <c:v>8283.8218313323032</c:v>
                </c:pt>
                <c:pt idx="33">
                  <c:v>8400.3471315724237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2562.551002317176</c:v>
                </c:pt>
                <c:pt idx="3">
                  <c:v>2485.4449375303884</c:v>
                </c:pt>
                <c:pt idx="4">
                  <c:v>2634.8523232226207</c:v>
                </c:pt>
                <c:pt idx="5">
                  <c:v>2769.8273208059522</c:v>
                </c:pt>
                <c:pt idx="6">
                  <c:v>2901.5128257327401</c:v>
                </c:pt>
                <c:pt idx="7">
                  <c:v>3040.7547406827407</c:v>
                </c:pt>
                <c:pt idx="8">
                  <c:v>3177.0967729303602</c:v>
                </c:pt>
                <c:pt idx="9">
                  <c:v>3307.5979165508688</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39101.343203376688</c:v>
                </c:pt>
                <c:pt idx="7">
                  <c:v>38622.475202529524</c:v>
                </c:pt>
                <c:pt idx="8">
                  <c:v>37386.170634721551</c:v>
                </c:pt>
                <c:pt idx="9">
                  <c:v>35585.129557862114</c:v>
                </c:pt>
                <c:pt idx="10">
                  <c:v>33450.235655449265</c:v>
                </c:pt>
                <c:pt idx="11">
                  <c:v>31644.171684493736</c:v>
                </c:pt>
                <c:pt idx="12">
                  <c:v>29401.792768631756</c:v>
                </c:pt>
                <c:pt idx="13">
                  <c:v>27312.812305398078</c:v>
                </c:pt>
                <c:pt idx="14">
                  <c:v>26451.312318932665</c:v>
                </c:pt>
                <c:pt idx="15">
                  <c:v>25159.78399013642</c:v>
                </c:pt>
                <c:pt idx="16">
                  <c:v>24633.728413549517</c:v>
                </c:pt>
                <c:pt idx="17">
                  <c:v>24293.138621550363</c:v>
                </c:pt>
                <c:pt idx="18">
                  <c:v>19165.020085319313</c:v>
                </c:pt>
                <c:pt idx="19">
                  <c:v>13687.941669523079</c:v>
                </c:pt>
                <c:pt idx="20">
                  <c:v>13687.941669523076</c:v>
                </c:pt>
                <c:pt idx="21">
                  <c:v>13687.941669523078</c:v>
                </c:pt>
                <c:pt idx="22">
                  <c:v>13687.941669523076</c:v>
                </c:pt>
                <c:pt idx="23">
                  <c:v>13687.941669523081</c:v>
                </c:pt>
                <c:pt idx="24">
                  <c:v>13687.941669523074</c:v>
                </c:pt>
                <c:pt idx="25">
                  <c:v>13687.941669523081</c:v>
                </c:pt>
                <c:pt idx="26">
                  <c:v>13687.941669523076</c:v>
                </c:pt>
                <c:pt idx="27">
                  <c:v>13687.941669523083</c:v>
                </c:pt>
                <c:pt idx="28">
                  <c:v>13687.941669523074</c:v>
                </c:pt>
                <c:pt idx="29">
                  <c:v>13687.941669523087</c:v>
                </c:pt>
                <c:pt idx="30">
                  <c:v>13687.941669523076</c:v>
                </c:pt>
                <c:pt idx="31">
                  <c:v>13687.941669523076</c:v>
                </c:pt>
                <c:pt idx="32">
                  <c:v>13687.941669523083</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10352.528410102976</c:v>
                </c:pt>
                <c:pt idx="3">
                  <c:v>11145.306372519357</c:v>
                </c:pt>
                <c:pt idx="4">
                  <c:v>12631.80009892837</c:v>
                </c:pt>
                <c:pt idx="5">
                  <c:v>13897.124532895406</c:v>
                </c:pt>
                <c:pt idx="6">
                  <c:v>15226.978225597468</c:v>
                </c:pt>
                <c:pt idx="7">
                  <c:v>16907.023632319295</c:v>
                </c:pt>
                <c:pt idx="8">
                  <c:v>18379.593260585112</c:v>
                </c:pt>
                <c:pt idx="9">
                  <c:v>19613.983219645612</c:v>
                </c:pt>
                <c:pt idx="10">
                  <c:v>20635.731978531978</c:v>
                </c:pt>
                <c:pt idx="11">
                  <c:v>21731.533068423185</c:v>
                </c:pt>
                <c:pt idx="12">
                  <c:v>22522.162528169356</c:v>
                </c:pt>
                <c:pt idx="13">
                  <c:v>23278.253165350783</c:v>
                </c:pt>
                <c:pt idx="14">
                  <c:v>22824.911228952824</c:v>
                </c:pt>
                <c:pt idx="15">
                  <c:v>22106.124617340491</c:v>
                </c:pt>
                <c:pt idx="16">
                  <c:v>21908.944706902541</c:v>
                </c:pt>
                <c:pt idx="17">
                  <c:v>21861.055358708316</c:v>
                </c:pt>
                <c:pt idx="18">
                  <c:v>18586.801838680862</c:v>
                </c:pt>
                <c:pt idx="19">
                  <c:v>14950.11140144718</c:v>
                </c:pt>
                <c:pt idx="20">
                  <c:v>13218.894697914573</c:v>
                </c:pt>
                <c:pt idx="21">
                  <c:v>12196.697904390883</c:v>
                </c:pt>
                <c:pt idx="22">
                  <c:v>11182.537632279847</c:v>
                </c:pt>
                <c:pt idx="23">
                  <c:v>10170.443533665652</c:v>
                </c:pt>
                <c:pt idx="24">
                  <c:v>9735.2558907040348</c:v>
                </c:pt>
                <c:pt idx="25">
                  <c:v>9294.8110110320795</c:v>
                </c:pt>
                <c:pt idx="26">
                  <c:v>8858.2386715258344</c:v>
                </c:pt>
                <c:pt idx="27">
                  <c:v>8427.9961921476224</c:v>
                </c:pt>
                <c:pt idx="28">
                  <c:v>8005.094364949251</c:v>
                </c:pt>
                <c:pt idx="29">
                  <c:v>8140.6267187900776</c:v>
                </c:pt>
                <c:pt idx="30">
                  <c:v>8215.2662999135937</c:v>
                </c:pt>
                <c:pt idx="31">
                  <c:v>8295.4309049759559</c:v>
                </c:pt>
                <c:pt idx="32">
                  <c:v>8370.8681487671874</c:v>
                </c:pt>
                <c:pt idx="33">
                  <c:v>8447.2415415001888</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2562.551002317176</c:v>
                </c:pt>
                <c:pt idx="3">
                  <c:v>2560.6366375303887</c:v>
                </c:pt>
                <c:pt idx="4">
                  <c:v>2935.6191232226211</c:v>
                </c:pt>
                <c:pt idx="5">
                  <c:v>3145.7858208059524</c:v>
                </c:pt>
                <c:pt idx="6">
                  <c:v>3202.2796257327404</c:v>
                </c:pt>
                <c:pt idx="7">
                  <c:v>3266.3298406827407</c:v>
                </c:pt>
                <c:pt idx="8">
                  <c:v>3327.4801729303604</c:v>
                </c:pt>
                <c:pt idx="9">
                  <c:v>3382.7896165508691</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39101.343203376688</c:v>
                </c:pt>
                <c:pt idx="7">
                  <c:v>38622.475202529524</c:v>
                </c:pt>
                <c:pt idx="8">
                  <c:v>37386.170634721551</c:v>
                </c:pt>
                <c:pt idx="9">
                  <c:v>35585.129557862114</c:v>
                </c:pt>
                <c:pt idx="10">
                  <c:v>33450.235655449265</c:v>
                </c:pt>
                <c:pt idx="11">
                  <c:v>31644.171684493736</c:v>
                </c:pt>
                <c:pt idx="12">
                  <c:v>29401.792768631756</c:v>
                </c:pt>
                <c:pt idx="13">
                  <c:v>27312.812305398078</c:v>
                </c:pt>
                <c:pt idx="14">
                  <c:v>26451.312318932665</c:v>
                </c:pt>
                <c:pt idx="15">
                  <c:v>25159.78399013642</c:v>
                </c:pt>
                <c:pt idx="16">
                  <c:v>24633.728413549517</c:v>
                </c:pt>
                <c:pt idx="17">
                  <c:v>24293.138621550363</c:v>
                </c:pt>
                <c:pt idx="18">
                  <c:v>19165.020085319313</c:v>
                </c:pt>
                <c:pt idx="19">
                  <c:v>13687.941669523079</c:v>
                </c:pt>
                <c:pt idx="20">
                  <c:v>13687.941669523076</c:v>
                </c:pt>
                <c:pt idx="21">
                  <c:v>13687.941669523078</c:v>
                </c:pt>
                <c:pt idx="22">
                  <c:v>13687.941669523076</c:v>
                </c:pt>
                <c:pt idx="23">
                  <c:v>13687.941669523081</c:v>
                </c:pt>
                <c:pt idx="24">
                  <c:v>13687.941669523074</c:v>
                </c:pt>
                <c:pt idx="25">
                  <c:v>13687.941669523081</c:v>
                </c:pt>
                <c:pt idx="26">
                  <c:v>13687.941669523076</c:v>
                </c:pt>
                <c:pt idx="27">
                  <c:v>13687.941669523083</c:v>
                </c:pt>
                <c:pt idx="28">
                  <c:v>13687.941669523074</c:v>
                </c:pt>
                <c:pt idx="29">
                  <c:v>13687.941669523087</c:v>
                </c:pt>
                <c:pt idx="30">
                  <c:v>13687.941669523076</c:v>
                </c:pt>
                <c:pt idx="31">
                  <c:v>13687.941669523076</c:v>
                </c:pt>
                <c:pt idx="32">
                  <c:v>13687.941669523083</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10352.528410102976</c:v>
                </c:pt>
                <c:pt idx="3">
                  <c:v>11145.306372519357</c:v>
                </c:pt>
                <c:pt idx="4">
                  <c:v>12631.80009892837</c:v>
                </c:pt>
                <c:pt idx="5">
                  <c:v>13897.124532895406</c:v>
                </c:pt>
                <c:pt idx="6">
                  <c:v>15226.978225597468</c:v>
                </c:pt>
                <c:pt idx="7">
                  <c:v>16907.023632319295</c:v>
                </c:pt>
                <c:pt idx="8">
                  <c:v>18379.593260585112</c:v>
                </c:pt>
                <c:pt idx="9">
                  <c:v>19613.983219645612</c:v>
                </c:pt>
                <c:pt idx="10">
                  <c:v>20635.731978531978</c:v>
                </c:pt>
                <c:pt idx="11">
                  <c:v>21731.533068423185</c:v>
                </c:pt>
                <c:pt idx="12">
                  <c:v>22522.162528169356</c:v>
                </c:pt>
                <c:pt idx="13">
                  <c:v>23278.253165350783</c:v>
                </c:pt>
                <c:pt idx="14">
                  <c:v>22824.911228952824</c:v>
                </c:pt>
                <c:pt idx="15">
                  <c:v>22106.124617340491</c:v>
                </c:pt>
                <c:pt idx="16">
                  <c:v>21908.944706902541</c:v>
                </c:pt>
                <c:pt idx="17">
                  <c:v>21861.055358708316</c:v>
                </c:pt>
                <c:pt idx="18">
                  <c:v>18586.801838680862</c:v>
                </c:pt>
                <c:pt idx="19">
                  <c:v>14950.11140144718</c:v>
                </c:pt>
                <c:pt idx="20">
                  <c:v>13218.894697914573</c:v>
                </c:pt>
                <c:pt idx="21">
                  <c:v>12196.697904390883</c:v>
                </c:pt>
                <c:pt idx="22">
                  <c:v>11182.537632279847</c:v>
                </c:pt>
                <c:pt idx="23">
                  <c:v>10170.443533665652</c:v>
                </c:pt>
                <c:pt idx="24">
                  <c:v>9735.2558907040348</c:v>
                </c:pt>
                <c:pt idx="25">
                  <c:v>9294.8110110320795</c:v>
                </c:pt>
                <c:pt idx="26">
                  <c:v>8858.2386715258344</c:v>
                </c:pt>
                <c:pt idx="27">
                  <c:v>8427.9961921476224</c:v>
                </c:pt>
                <c:pt idx="28">
                  <c:v>8005.094364949251</c:v>
                </c:pt>
                <c:pt idx="29">
                  <c:v>8140.6267187900776</c:v>
                </c:pt>
                <c:pt idx="30">
                  <c:v>8215.2662999135937</c:v>
                </c:pt>
                <c:pt idx="31">
                  <c:v>8295.4309049759559</c:v>
                </c:pt>
                <c:pt idx="32">
                  <c:v>8370.8681487671874</c:v>
                </c:pt>
                <c:pt idx="33">
                  <c:v>8447.2415415001888</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2562.551002317176</c:v>
                </c:pt>
                <c:pt idx="3">
                  <c:v>2560.6366375303887</c:v>
                </c:pt>
                <c:pt idx="4">
                  <c:v>2935.6191232226211</c:v>
                </c:pt>
                <c:pt idx="5">
                  <c:v>3145.7858208059524</c:v>
                </c:pt>
                <c:pt idx="6">
                  <c:v>3202.2796257327404</c:v>
                </c:pt>
                <c:pt idx="7">
                  <c:v>3266.3298406827407</c:v>
                </c:pt>
                <c:pt idx="8">
                  <c:v>3327.4801729303604</c:v>
                </c:pt>
                <c:pt idx="9">
                  <c:v>3382.7896165508691</c:v>
                </c:pt>
                <c:pt idx="10">
                  <c:v>3436.3360700456424</c:v>
                </c:pt>
                <c:pt idx="11">
                  <c:v>3487.0950456185724</c:v>
                </c:pt>
                <c:pt idx="12">
                  <c:v>3550.2801907226872</c:v>
                </c:pt>
                <c:pt idx="13">
                  <c:v>3612.8440237006225</c:v>
                </c:pt>
                <c:pt idx="14">
                  <c:v>3681.1215820084799</c:v>
                </c:pt>
                <c:pt idx="15">
                  <c:v>3761.3857443265993</c:v>
                </c:pt>
                <c:pt idx="16">
                  <c:v>3848.0219164089949</c:v>
                </c:pt>
                <c:pt idx="17">
                  <c:v>3949.1309735819841</c:v>
                </c:pt>
                <c:pt idx="18">
                  <c:v>4030.6704350808041</c:v>
                </c:pt>
                <c:pt idx="19">
                  <c:v>4109.6267789017866</c:v>
                </c:pt>
                <c:pt idx="20">
                  <c:v>4197.8517712529874</c:v>
                </c:pt>
                <c:pt idx="21">
                  <c:v>4285.4228841512158</c:v>
                </c:pt>
                <c:pt idx="22">
                  <c:v>4377.5291467721845</c:v>
                </c:pt>
                <c:pt idx="23">
                  <c:v>4470.8013872684305</c:v>
                </c:pt>
                <c:pt idx="24">
                  <c:v>4573.4101876873783</c:v>
                </c:pt>
                <c:pt idx="25">
                  <c:v>4673.052237396033</c:v>
                </c:pt>
                <c:pt idx="26">
                  <c:v>4774.8796293139649</c:v>
                </c:pt>
                <c:pt idx="27">
                  <c:v>4880.2790721144393</c:v>
                </c:pt>
                <c:pt idx="28">
                  <c:v>4989.8209734474995</c:v>
                </c:pt>
                <c:pt idx="29">
                  <c:v>5111.6211020205074</c:v>
                </c:pt>
                <c:pt idx="30">
                  <c:v>5199.0583729432956</c:v>
                </c:pt>
                <c:pt idx="31">
                  <c:v>5289.613511597383</c:v>
                </c:pt>
                <c:pt idx="32">
                  <c:v>5377.5009175276673</c:v>
                </c:pt>
                <c:pt idx="33">
                  <c:v>5465.916608694276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16063.071480396085</c:v>
                </c:pt>
                <c:pt idx="3">
                  <c:v>15048.892416004092</c:v>
                </c:pt>
                <c:pt idx="4">
                  <c:v>15543.108432791545</c:v>
                </c:pt>
                <c:pt idx="5">
                  <c:v>15941.216500196295</c:v>
                </c:pt>
                <c:pt idx="6">
                  <c:v>16317.419225855498</c:v>
                </c:pt>
                <c:pt idx="7">
                  <c:v>16743.941487446387</c:v>
                </c:pt>
                <c:pt idx="8">
                  <c:v>17151.152892242597</c:v>
                </c:pt>
                <c:pt idx="9">
                  <c:v>17519.468736284161</c:v>
                </c:pt>
                <c:pt idx="10">
                  <c:v>17876.044502073404</c:v>
                </c:pt>
                <c:pt idx="11">
                  <c:v>18214.057935350767</c:v>
                </c:pt>
                <c:pt idx="12">
                  <c:v>18634.81953638198</c:v>
                </c:pt>
                <c:pt idx="13">
                  <c:v>19051.443704722002</c:v>
                </c:pt>
                <c:pt idx="14">
                  <c:v>19506.116629834032</c:v>
                </c:pt>
                <c:pt idx="15">
                  <c:v>20040.610574364066</c:v>
                </c:pt>
                <c:pt idx="16">
                  <c:v>20617.53691381518</c:v>
                </c:pt>
                <c:pt idx="17">
                  <c:v>21290.840879561598</c:v>
                </c:pt>
                <c:pt idx="18">
                  <c:v>21833.82727788249</c:v>
                </c:pt>
                <c:pt idx="19">
                  <c:v>22359.612216461734</c:v>
                </c:pt>
                <c:pt idx="20">
                  <c:v>22947.118804782291</c:v>
                </c:pt>
                <c:pt idx="21">
                  <c:v>23530.271088541846</c:v>
                </c:pt>
                <c:pt idx="22">
                  <c:v>24143.623775499214</c:v>
                </c:pt>
                <c:pt idx="23">
                  <c:v>24764.740925397364</c:v>
                </c:pt>
                <c:pt idx="24">
                  <c:v>25448.031959595799</c:v>
                </c:pt>
                <c:pt idx="25">
                  <c:v>26111.566850531974</c:v>
                </c:pt>
                <c:pt idx="26">
                  <c:v>26789.654340583988</c:v>
                </c:pt>
                <c:pt idx="27">
                  <c:v>27491.528780018285</c:v>
                </c:pt>
                <c:pt idx="28">
                  <c:v>28220.988619177533</c:v>
                </c:pt>
                <c:pt idx="29">
                  <c:v>29032.078267222809</c:v>
                </c:pt>
                <c:pt idx="30">
                  <c:v>29614.339272442474</c:v>
                </c:pt>
                <c:pt idx="31">
                  <c:v>30217.362737196945</c:v>
                </c:pt>
                <c:pt idx="32">
                  <c:v>30802.621274924004</c:v>
                </c:pt>
                <c:pt idx="33">
                  <c:v>31391.397762027791</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111.94351134711049</c:v>
                </c:pt>
                <c:pt idx="10">
                  <c:v>107.3926541805366</c:v>
                </c:pt>
                <c:pt idx="11">
                  <c:v>105.36448545919635</c:v>
                </c:pt>
                <c:pt idx="12">
                  <c:v>103.32303668591965</c:v>
                </c:pt>
                <c:pt idx="13">
                  <c:v>101.50830165650036</c:v>
                </c:pt>
                <c:pt idx="14">
                  <c:v>100.13807452077647</c:v>
                </c:pt>
                <c:pt idx="15">
                  <c:v>98.867901949687308</c:v>
                </c:pt>
                <c:pt idx="16">
                  <c:v>98.738945012830243</c:v>
                </c:pt>
                <c:pt idx="17">
                  <c:v>98.072260249721623</c:v>
                </c:pt>
                <c:pt idx="18">
                  <c:v>97.361261211668534</c:v>
                </c:pt>
                <c:pt idx="19">
                  <c:v>96.029142723626322</c:v>
                </c:pt>
                <c:pt idx="20">
                  <c:v>94.835024667235103</c:v>
                </c:pt>
                <c:pt idx="21">
                  <c:v>93.750200658886101</c:v>
                </c:pt>
                <c:pt idx="22">
                  <c:v>92.062791517362029</c:v>
                </c:pt>
                <c:pt idx="23">
                  <c:v>91.71234090193515</c:v>
                </c:pt>
                <c:pt idx="24">
                  <c:v>91.80856650124116</c:v>
                </c:pt>
                <c:pt idx="25">
                  <c:v>86.819100328613885</c:v>
                </c:pt>
                <c:pt idx="26">
                  <c:v>84.37544263556687</c:v>
                </c:pt>
                <c:pt idx="27">
                  <c:v>83.233486564170803</c:v>
                </c:pt>
                <c:pt idx="28">
                  <c:v>82.370283389391346</c:v>
                </c:pt>
                <c:pt idx="29">
                  <c:v>81.5832751582317</c:v>
                </c:pt>
                <c:pt idx="30">
                  <c:v>80.839538484890866</c:v>
                </c:pt>
                <c:pt idx="31">
                  <c:v>80.021951089495786</c:v>
                </c:pt>
                <c:pt idx="32">
                  <c:v>79.247861030754621</c:v>
                </c:pt>
                <c:pt idx="33">
                  <c:v>78.561996486089981</c:v>
                </c:pt>
                <c:pt idx="34">
                  <c:v>77.973783621294899</c:v>
                </c:pt>
                <c:pt idx="35">
                  <c:v>77.485148656106887</c:v>
                </c:pt>
                <c:pt idx="36">
                  <c:v>77.428481926042451</c:v>
                </c:pt>
                <c:pt idx="37">
                  <c:v>77.101744505674077</c:v>
                </c:pt>
                <c:pt idx="38">
                  <c:v>77.077682679973464</c:v>
                </c:pt>
                <c:pt idx="39">
                  <c:v>77.076649278365963</c:v>
                </c:pt>
                <c:pt idx="40">
                  <c:v>77.126177822987145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111.94351134711049</c:v>
                </c:pt>
                <c:pt idx="10">
                  <c:v>107.3926541805366</c:v>
                </c:pt>
                <c:pt idx="11">
                  <c:v>105.36448545919635</c:v>
                </c:pt>
                <c:pt idx="12">
                  <c:v>103.32303668591965</c:v>
                </c:pt>
                <c:pt idx="13">
                  <c:v>101.50830165650036</c:v>
                </c:pt>
                <c:pt idx="14">
                  <c:v>100.13807452077647</c:v>
                </c:pt>
                <c:pt idx="15">
                  <c:v>98.867901949687308</c:v>
                </c:pt>
                <c:pt idx="16">
                  <c:v>98.738945012830243</c:v>
                </c:pt>
                <c:pt idx="17">
                  <c:v>98.072260249721623</c:v>
                </c:pt>
                <c:pt idx="18">
                  <c:v>97.361261211668534</c:v>
                </c:pt>
                <c:pt idx="19">
                  <c:v>96.029142723626322</c:v>
                </c:pt>
                <c:pt idx="20">
                  <c:v>94.835024667235103</c:v>
                </c:pt>
                <c:pt idx="21">
                  <c:v>93.750200658886101</c:v>
                </c:pt>
                <c:pt idx="22">
                  <c:v>92.062791517362029</c:v>
                </c:pt>
                <c:pt idx="23">
                  <c:v>91.71234090193515</c:v>
                </c:pt>
                <c:pt idx="24">
                  <c:v>91.80856650124116</c:v>
                </c:pt>
                <c:pt idx="25">
                  <c:v>86.819100328613885</c:v>
                </c:pt>
                <c:pt idx="26">
                  <c:v>84.37544263556687</c:v>
                </c:pt>
                <c:pt idx="27">
                  <c:v>83.233486564170803</c:v>
                </c:pt>
                <c:pt idx="28">
                  <c:v>82.370283389391346</c:v>
                </c:pt>
                <c:pt idx="29">
                  <c:v>81.5832751582317</c:v>
                </c:pt>
                <c:pt idx="30">
                  <c:v>80.839538484890866</c:v>
                </c:pt>
                <c:pt idx="31">
                  <c:v>80.021951089495786</c:v>
                </c:pt>
                <c:pt idx="32">
                  <c:v>79.247861030754621</c:v>
                </c:pt>
                <c:pt idx="33">
                  <c:v>78.561996486089981</c:v>
                </c:pt>
                <c:pt idx="34">
                  <c:v>77.973783621294899</c:v>
                </c:pt>
                <c:pt idx="35">
                  <c:v>77.485148656106887</c:v>
                </c:pt>
                <c:pt idx="36">
                  <c:v>77.428481926042451</c:v>
                </c:pt>
                <c:pt idx="37">
                  <c:v>77.101744505674077</c:v>
                </c:pt>
                <c:pt idx="38">
                  <c:v>77.077682679973464</c:v>
                </c:pt>
                <c:pt idx="39">
                  <c:v>77.076649278365963</c:v>
                </c:pt>
                <c:pt idx="40">
                  <c:v>77.126177822987145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113.60506162863425</c:v>
                </c:pt>
                <c:pt idx="10">
                  <c:v>107.76580206740455</c:v>
                </c:pt>
                <c:pt idx="11">
                  <c:v>98.572857430742403</c:v>
                </c:pt>
                <c:pt idx="12">
                  <c:v>95.375563444580123</c:v>
                </c:pt>
                <c:pt idx="13">
                  <c:v>95.290411591740877</c:v>
                </c:pt>
                <c:pt idx="14">
                  <c:v>96.739542593552457</c:v>
                </c:pt>
                <c:pt idx="15">
                  <c:v>97.20323675199424</c:v>
                </c:pt>
                <c:pt idx="16">
                  <c:v>96.808053509580205</c:v>
                </c:pt>
                <c:pt idx="17">
                  <c:v>95.853717946039325</c:v>
                </c:pt>
                <c:pt idx="18">
                  <c:v>95.28172157958501</c:v>
                </c:pt>
                <c:pt idx="19">
                  <c:v>94.064178658545941</c:v>
                </c:pt>
                <c:pt idx="20">
                  <c:v>92.961458009272988</c:v>
                </c:pt>
                <c:pt idx="21">
                  <c:v>91.775978456058198</c:v>
                </c:pt>
                <c:pt idx="22">
                  <c:v>89.988360184221079</c:v>
                </c:pt>
                <c:pt idx="23">
                  <c:v>90.005935356484926</c:v>
                </c:pt>
                <c:pt idx="24">
                  <c:v>90.469837048480642</c:v>
                </c:pt>
                <c:pt idx="25">
                  <c:v>82.770683428408063</c:v>
                </c:pt>
                <c:pt idx="26">
                  <c:v>74.329785258024017</c:v>
                </c:pt>
                <c:pt idx="27">
                  <c:v>73.342970665209208</c:v>
                </c:pt>
                <c:pt idx="28">
                  <c:v>73.060712275477712</c:v>
                </c:pt>
                <c:pt idx="29">
                  <c:v>72.821773820790554</c:v>
                </c:pt>
                <c:pt idx="30">
                  <c:v>72.59438326106077</c:v>
                </c:pt>
                <c:pt idx="31">
                  <c:v>73.005214793773106</c:v>
                </c:pt>
                <c:pt idx="32">
                  <c:v>73.38846801673013</c:v>
                </c:pt>
                <c:pt idx="33">
                  <c:v>73.792735695201429</c:v>
                </c:pt>
                <c:pt idx="34">
                  <c:v>74.231098380025031</c:v>
                </c:pt>
                <c:pt idx="35">
                  <c:v>74.708937912027238</c:v>
                </c:pt>
                <c:pt idx="36">
                  <c:v>75.828440074505437</c:v>
                </c:pt>
                <c:pt idx="37">
                  <c:v>76.624136847889133</c:v>
                </c:pt>
                <c:pt idx="38">
                  <c:v>77.449519103663917</c:v>
                </c:pt>
                <c:pt idx="39">
                  <c:v>78.250022725329288</c:v>
                </c:pt>
                <c:pt idx="40">
                  <c:v>79.055791381835505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113.60506162863425</c:v>
                </c:pt>
                <c:pt idx="10">
                  <c:v>107.76580206740455</c:v>
                </c:pt>
                <c:pt idx="11">
                  <c:v>98.572857430742403</c:v>
                </c:pt>
                <c:pt idx="12">
                  <c:v>95.375563444580123</c:v>
                </c:pt>
                <c:pt idx="13">
                  <c:v>95.290411591740877</c:v>
                </c:pt>
                <c:pt idx="14">
                  <c:v>96.739542593552457</c:v>
                </c:pt>
                <c:pt idx="15">
                  <c:v>97.20323675199424</c:v>
                </c:pt>
                <c:pt idx="16">
                  <c:v>96.808053509580205</c:v>
                </c:pt>
                <c:pt idx="17">
                  <c:v>95.853717946039325</c:v>
                </c:pt>
                <c:pt idx="18">
                  <c:v>95.28172157958501</c:v>
                </c:pt>
                <c:pt idx="19">
                  <c:v>94.064178658545941</c:v>
                </c:pt>
                <c:pt idx="20">
                  <c:v>92.961458009272988</c:v>
                </c:pt>
                <c:pt idx="21">
                  <c:v>91.775978456058198</c:v>
                </c:pt>
                <c:pt idx="22">
                  <c:v>89.988360184221079</c:v>
                </c:pt>
                <c:pt idx="23">
                  <c:v>90.005935356484926</c:v>
                </c:pt>
                <c:pt idx="24">
                  <c:v>90.469837048480642</c:v>
                </c:pt>
                <c:pt idx="25">
                  <c:v>82.770683428408063</c:v>
                </c:pt>
                <c:pt idx="26">
                  <c:v>74.329785258024017</c:v>
                </c:pt>
                <c:pt idx="27">
                  <c:v>73.342970665209208</c:v>
                </c:pt>
                <c:pt idx="28">
                  <c:v>73.060712275477712</c:v>
                </c:pt>
                <c:pt idx="29">
                  <c:v>72.821773820790554</c:v>
                </c:pt>
                <c:pt idx="30">
                  <c:v>72.59438326106077</c:v>
                </c:pt>
                <c:pt idx="31">
                  <c:v>73.005214793773106</c:v>
                </c:pt>
                <c:pt idx="32">
                  <c:v>73.38846801673013</c:v>
                </c:pt>
                <c:pt idx="33">
                  <c:v>73.792735695201429</c:v>
                </c:pt>
                <c:pt idx="34">
                  <c:v>74.231098380025031</c:v>
                </c:pt>
                <c:pt idx="35">
                  <c:v>74.708937912027238</c:v>
                </c:pt>
                <c:pt idx="36">
                  <c:v>75.828440074505437</c:v>
                </c:pt>
                <c:pt idx="37">
                  <c:v>76.624136847889133</c:v>
                </c:pt>
                <c:pt idx="38">
                  <c:v>77.449519103663917</c:v>
                </c:pt>
                <c:pt idx="39">
                  <c:v>78.250022725329288</c:v>
                </c:pt>
                <c:pt idx="40">
                  <c:v>79.055791381835505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113.60506162863425</c:v>
                </c:pt>
                <c:pt idx="10">
                  <c:v>107.76580206740455</c:v>
                </c:pt>
                <c:pt idx="11">
                  <c:v>98.572857430742403</c:v>
                </c:pt>
                <c:pt idx="12">
                  <c:v>95.375563444580123</c:v>
                </c:pt>
                <c:pt idx="13">
                  <c:v>95.290411591740877</c:v>
                </c:pt>
                <c:pt idx="14">
                  <c:v>96.739542593552457</c:v>
                </c:pt>
                <c:pt idx="15">
                  <c:v>97.20323675199424</c:v>
                </c:pt>
                <c:pt idx="16">
                  <c:v>96.808053509580205</c:v>
                </c:pt>
                <c:pt idx="17">
                  <c:v>95.853717946039325</c:v>
                </c:pt>
                <c:pt idx="18">
                  <c:v>95.28172157958501</c:v>
                </c:pt>
                <c:pt idx="19">
                  <c:v>94.064178658545941</c:v>
                </c:pt>
                <c:pt idx="20">
                  <c:v>92.961458009272988</c:v>
                </c:pt>
                <c:pt idx="21">
                  <c:v>91.775978456058198</c:v>
                </c:pt>
                <c:pt idx="22">
                  <c:v>89.988360184221079</c:v>
                </c:pt>
                <c:pt idx="23">
                  <c:v>90.005935356484926</c:v>
                </c:pt>
                <c:pt idx="24">
                  <c:v>90.469837048480642</c:v>
                </c:pt>
                <c:pt idx="25">
                  <c:v>82.770683428408063</c:v>
                </c:pt>
                <c:pt idx="26">
                  <c:v>74.329785258024017</c:v>
                </c:pt>
                <c:pt idx="27">
                  <c:v>73.342970665209208</c:v>
                </c:pt>
                <c:pt idx="28">
                  <c:v>73.060712275477712</c:v>
                </c:pt>
                <c:pt idx="29">
                  <c:v>72.821773820790554</c:v>
                </c:pt>
                <c:pt idx="30">
                  <c:v>72.59438326106077</c:v>
                </c:pt>
                <c:pt idx="31">
                  <c:v>73.005214793773106</c:v>
                </c:pt>
                <c:pt idx="32">
                  <c:v>73.38846801673013</c:v>
                </c:pt>
                <c:pt idx="33">
                  <c:v>73.792735695201429</c:v>
                </c:pt>
                <c:pt idx="34">
                  <c:v>74.231098380025031</c:v>
                </c:pt>
                <c:pt idx="35">
                  <c:v>74.708937912027238</c:v>
                </c:pt>
                <c:pt idx="36">
                  <c:v>75.828440074505437</c:v>
                </c:pt>
                <c:pt idx="37">
                  <c:v>76.624136847889133</c:v>
                </c:pt>
                <c:pt idx="38">
                  <c:v>77.449519103663917</c:v>
                </c:pt>
                <c:pt idx="39">
                  <c:v>78.250022725329288</c:v>
                </c:pt>
                <c:pt idx="40">
                  <c:v>79.055791381835505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113.60506162863425</c:v>
                </c:pt>
                <c:pt idx="10">
                  <c:v>107.76580206740455</c:v>
                </c:pt>
                <c:pt idx="11">
                  <c:v>98.572857430742403</c:v>
                </c:pt>
                <c:pt idx="12">
                  <c:v>95.375563444580123</c:v>
                </c:pt>
                <c:pt idx="13">
                  <c:v>95.290411591740877</c:v>
                </c:pt>
                <c:pt idx="14">
                  <c:v>96.739542593552457</c:v>
                </c:pt>
                <c:pt idx="15">
                  <c:v>97.20323675199424</c:v>
                </c:pt>
                <c:pt idx="16">
                  <c:v>96.808053509580205</c:v>
                </c:pt>
                <c:pt idx="17">
                  <c:v>95.853717946039325</c:v>
                </c:pt>
                <c:pt idx="18">
                  <c:v>95.28172157958501</c:v>
                </c:pt>
                <c:pt idx="19">
                  <c:v>94.064178658545941</c:v>
                </c:pt>
                <c:pt idx="20">
                  <c:v>92.961458009272988</c:v>
                </c:pt>
                <c:pt idx="21">
                  <c:v>91.775978456058198</c:v>
                </c:pt>
                <c:pt idx="22">
                  <c:v>89.988360184221079</c:v>
                </c:pt>
                <c:pt idx="23">
                  <c:v>90.005935356484926</c:v>
                </c:pt>
                <c:pt idx="24">
                  <c:v>90.469837048480642</c:v>
                </c:pt>
                <c:pt idx="25">
                  <c:v>82.770683428408063</c:v>
                </c:pt>
                <c:pt idx="26">
                  <c:v>74.329785258024017</c:v>
                </c:pt>
                <c:pt idx="27">
                  <c:v>73.342970665209208</c:v>
                </c:pt>
                <c:pt idx="28">
                  <c:v>73.060712275477712</c:v>
                </c:pt>
                <c:pt idx="29">
                  <c:v>72.821773820790554</c:v>
                </c:pt>
                <c:pt idx="30">
                  <c:v>72.59438326106077</c:v>
                </c:pt>
                <c:pt idx="31">
                  <c:v>73.005214793773106</c:v>
                </c:pt>
                <c:pt idx="32">
                  <c:v>73.38846801673013</c:v>
                </c:pt>
                <c:pt idx="33">
                  <c:v>73.792735695201429</c:v>
                </c:pt>
                <c:pt idx="34">
                  <c:v>74.231098380025031</c:v>
                </c:pt>
                <c:pt idx="35">
                  <c:v>74.708937912027238</c:v>
                </c:pt>
                <c:pt idx="36">
                  <c:v>75.828440074505437</c:v>
                </c:pt>
                <c:pt idx="37">
                  <c:v>76.624136847889133</c:v>
                </c:pt>
                <c:pt idx="38">
                  <c:v>77.449519103663917</c:v>
                </c:pt>
                <c:pt idx="39">
                  <c:v>78.250022725329288</c:v>
                </c:pt>
                <c:pt idx="40">
                  <c:v>79.055791381835505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0.36098197085719852</c:v>
                </c:pt>
                <c:pt idx="10">
                  <c:v>0.36848843643229234</c:v>
                </c:pt>
                <c:pt idx="11">
                  <c:v>0.38975324443815274</c:v>
                </c:pt>
                <c:pt idx="12">
                  <c:v>0.41000760372297357</c:v>
                </c:pt>
                <c:pt idx="13">
                  <c:v>0.43064143120687154</c:v>
                </c:pt>
                <c:pt idx="14">
                  <c:v>0.45281770979141833</c:v>
                </c:pt>
                <c:pt idx="15">
                  <c:v>0.47437083432444616</c:v>
                </c:pt>
                <c:pt idx="16">
                  <c:v>0.48955881084104291</c:v>
                </c:pt>
                <c:pt idx="17">
                  <c:v>0.50698609212610946</c:v>
                </c:pt>
                <c:pt idx="18">
                  <c:v>0.52104633574371406</c:v>
                </c:pt>
                <c:pt idx="19">
                  <c:v>0.53906366138175554</c:v>
                </c:pt>
                <c:pt idx="20">
                  <c:v>0.55724059795229364</c:v>
                </c:pt>
                <c:pt idx="21">
                  <c:v>0.56718365435530249</c:v>
                </c:pt>
                <c:pt idx="22">
                  <c:v>0.58082122069867592</c:v>
                </c:pt>
                <c:pt idx="23">
                  <c:v>0.58974388999060834</c:v>
                </c:pt>
                <c:pt idx="24">
                  <c:v>0.59799377129441522</c:v>
                </c:pt>
                <c:pt idx="25">
                  <c:v>0.62124307727646377</c:v>
                </c:pt>
                <c:pt idx="26">
                  <c:v>0.62528972805676331</c:v>
                </c:pt>
                <c:pt idx="27">
                  <c:v>0.63284500019170653</c:v>
                </c:pt>
                <c:pt idx="28">
                  <c:v>0.64236711837615856</c:v>
                </c:pt>
                <c:pt idx="29">
                  <c:v>0.65201466898167093</c:v>
                </c:pt>
                <c:pt idx="30">
                  <c:v>0.66164047894984246</c:v>
                </c:pt>
                <c:pt idx="31">
                  <c:v>0.6765639058853774</c:v>
                </c:pt>
                <c:pt idx="32">
                  <c:v>0.69106927393185447</c:v>
                </c:pt>
                <c:pt idx="33">
                  <c:v>0.70533714961588401</c:v>
                </c:pt>
                <c:pt idx="34">
                  <c:v>0.71939358822611521</c:v>
                </c:pt>
                <c:pt idx="35">
                  <c:v>0.73323182044150303</c:v>
                </c:pt>
                <c:pt idx="36">
                  <c:v>0.7479232210872786</c:v>
                </c:pt>
                <c:pt idx="37">
                  <c:v>0.76110907084436663</c:v>
                </c:pt>
                <c:pt idx="38">
                  <c:v>0.77246632154831418</c:v>
                </c:pt>
                <c:pt idx="39">
                  <c:v>0.78327307076770258</c:v>
                </c:pt>
                <c:pt idx="40">
                  <c:v>0.79362716505353226</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0.36098197085719852</c:v>
                </c:pt>
                <c:pt idx="10">
                  <c:v>0.36848843643229234</c:v>
                </c:pt>
                <c:pt idx="11">
                  <c:v>0.38975324443815274</c:v>
                </c:pt>
                <c:pt idx="12">
                  <c:v>0.41000760372297357</c:v>
                </c:pt>
                <c:pt idx="13">
                  <c:v>0.43064143120687154</c:v>
                </c:pt>
                <c:pt idx="14">
                  <c:v>0.45281770979141833</c:v>
                </c:pt>
                <c:pt idx="15">
                  <c:v>0.47437083432444616</c:v>
                </c:pt>
                <c:pt idx="16">
                  <c:v>0.48955881084104291</c:v>
                </c:pt>
                <c:pt idx="17">
                  <c:v>0.50698609212610946</c:v>
                </c:pt>
                <c:pt idx="18">
                  <c:v>0.52104633574371406</c:v>
                </c:pt>
                <c:pt idx="19">
                  <c:v>0.53906366138175554</c:v>
                </c:pt>
                <c:pt idx="20">
                  <c:v>0.55724059795229364</c:v>
                </c:pt>
                <c:pt idx="21">
                  <c:v>0.56718365435530249</c:v>
                </c:pt>
                <c:pt idx="22">
                  <c:v>0.58082122069867592</c:v>
                </c:pt>
                <c:pt idx="23">
                  <c:v>0.58974388999060834</c:v>
                </c:pt>
                <c:pt idx="24">
                  <c:v>0.59799377129441522</c:v>
                </c:pt>
                <c:pt idx="25">
                  <c:v>0.62124307727646377</c:v>
                </c:pt>
                <c:pt idx="26">
                  <c:v>0.62528972805676331</c:v>
                </c:pt>
                <c:pt idx="27">
                  <c:v>0.63284500019170653</c:v>
                </c:pt>
                <c:pt idx="28">
                  <c:v>0.64236711837615856</c:v>
                </c:pt>
                <c:pt idx="29">
                  <c:v>0.65201466898167093</c:v>
                </c:pt>
                <c:pt idx="30">
                  <c:v>0.66164047894984246</c:v>
                </c:pt>
                <c:pt idx="31">
                  <c:v>0.6765639058853774</c:v>
                </c:pt>
                <c:pt idx="32">
                  <c:v>0.69106927393185447</c:v>
                </c:pt>
                <c:pt idx="33">
                  <c:v>0.70533714961588401</c:v>
                </c:pt>
                <c:pt idx="34">
                  <c:v>0.71939358822611521</c:v>
                </c:pt>
                <c:pt idx="35">
                  <c:v>0.73323182044150303</c:v>
                </c:pt>
                <c:pt idx="36">
                  <c:v>0.7479232210872786</c:v>
                </c:pt>
                <c:pt idx="37">
                  <c:v>0.76110907084436663</c:v>
                </c:pt>
                <c:pt idx="38">
                  <c:v>0.77246632154831418</c:v>
                </c:pt>
                <c:pt idx="39">
                  <c:v>0.78327307076770258</c:v>
                </c:pt>
                <c:pt idx="40">
                  <c:v>0.79362716505353226</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0.37652840962439843</c:v>
                </c:pt>
                <c:pt idx="10">
                  <c:v>0.40182480874928223</c:v>
                </c:pt>
                <c:pt idx="11">
                  <c:v>0.47521627923214255</c:v>
                </c:pt>
                <c:pt idx="12">
                  <c:v>0.51479453896459015</c:v>
                </c:pt>
                <c:pt idx="13">
                  <c:v>0.53469570275482714</c:v>
                </c:pt>
                <c:pt idx="14">
                  <c:v>0.5500717918683522</c:v>
                </c:pt>
                <c:pt idx="15">
                  <c:v>0.56837627074733488</c:v>
                </c:pt>
                <c:pt idx="16">
                  <c:v>0.58867201562867277</c:v>
                </c:pt>
                <c:pt idx="17">
                  <c:v>0.61033700648771894</c:v>
                </c:pt>
                <c:pt idx="18">
                  <c:v>0.63046152845473658</c:v>
                </c:pt>
                <c:pt idx="19">
                  <c:v>0.65307131403485075</c:v>
                </c:pt>
                <c:pt idx="20">
                  <c:v>0.67502380946204188</c:v>
                </c:pt>
                <c:pt idx="21">
                  <c:v>0.68385584062527216</c:v>
                </c:pt>
                <c:pt idx="22">
                  <c:v>0.69564296726310382</c:v>
                </c:pt>
                <c:pt idx="23">
                  <c:v>0.7015470746062723</c:v>
                </c:pt>
                <c:pt idx="24">
                  <c:v>0.70684212790468459</c:v>
                </c:pt>
                <c:pt idx="25">
                  <c:v>0.74152893880336357</c:v>
                </c:pt>
                <c:pt idx="26">
                  <c:v>0.78586312457835339</c:v>
                </c:pt>
                <c:pt idx="27">
                  <c:v>0.78298195694075601</c:v>
                </c:pt>
                <c:pt idx="28">
                  <c:v>0.78214354240209638</c:v>
                </c:pt>
                <c:pt idx="29">
                  <c:v>0.78142872480578029</c:v>
                </c:pt>
                <c:pt idx="30">
                  <c:v>0.78074408444691767</c:v>
                </c:pt>
                <c:pt idx="31">
                  <c:v>0.78197793115358616</c:v>
                </c:pt>
                <c:pt idx="32">
                  <c:v>0.78311649778154868</c:v>
                </c:pt>
                <c:pt idx="33">
                  <c:v>0.78430467693108896</c:v>
                </c:pt>
                <c:pt idx="34">
                  <c:v>0.78557843931623272</c:v>
                </c:pt>
                <c:pt idx="35">
                  <c:v>0.78694988296235924</c:v>
                </c:pt>
                <c:pt idx="36">
                  <c:v>0.79009527361665099</c:v>
                </c:pt>
                <c:pt idx="37">
                  <c:v>0.79227501123422173</c:v>
                </c:pt>
                <c:pt idx="38">
                  <c:v>0.79448874376339074</c:v>
                </c:pt>
                <c:pt idx="39">
                  <c:v>0.79659113938170112</c:v>
                </c:pt>
                <c:pt idx="40">
                  <c:v>0.7986643649035382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0.37652840962439843</c:v>
                </c:pt>
                <c:pt idx="10">
                  <c:v>0.40182480874928223</c:v>
                </c:pt>
                <c:pt idx="11">
                  <c:v>0.47521627923214255</c:v>
                </c:pt>
                <c:pt idx="12">
                  <c:v>0.51479453896459015</c:v>
                </c:pt>
                <c:pt idx="13">
                  <c:v>0.53469570275482714</c:v>
                </c:pt>
                <c:pt idx="14">
                  <c:v>0.5500717918683522</c:v>
                </c:pt>
                <c:pt idx="15">
                  <c:v>0.56837627074733488</c:v>
                </c:pt>
                <c:pt idx="16">
                  <c:v>0.58867201562867277</c:v>
                </c:pt>
                <c:pt idx="17">
                  <c:v>0.61033700648771894</c:v>
                </c:pt>
                <c:pt idx="18">
                  <c:v>0.63046152845473658</c:v>
                </c:pt>
                <c:pt idx="19">
                  <c:v>0.65307131403485075</c:v>
                </c:pt>
                <c:pt idx="20">
                  <c:v>0.67502380946204188</c:v>
                </c:pt>
                <c:pt idx="21">
                  <c:v>0.68385584062527216</c:v>
                </c:pt>
                <c:pt idx="22">
                  <c:v>0.69564296726310382</c:v>
                </c:pt>
                <c:pt idx="23">
                  <c:v>0.7015470746062723</c:v>
                </c:pt>
                <c:pt idx="24">
                  <c:v>0.70684212790468459</c:v>
                </c:pt>
                <c:pt idx="25">
                  <c:v>0.74152893880336357</c:v>
                </c:pt>
                <c:pt idx="26">
                  <c:v>0.78586312457835339</c:v>
                </c:pt>
                <c:pt idx="27">
                  <c:v>0.78298195694075601</c:v>
                </c:pt>
                <c:pt idx="28">
                  <c:v>0.78214354240209638</c:v>
                </c:pt>
                <c:pt idx="29">
                  <c:v>0.78142872480578029</c:v>
                </c:pt>
                <c:pt idx="30">
                  <c:v>0.78074408444691767</c:v>
                </c:pt>
                <c:pt idx="31">
                  <c:v>0.78197793115358616</c:v>
                </c:pt>
                <c:pt idx="32">
                  <c:v>0.78311649778154868</c:v>
                </c:pt>
                <c:pt idx="33">
                  <c:v>0.78430467693108896</c:v>
                </c:pt>
                <c:pt idx="34">
                  <c:v>0.78557843931623272</c:v>
                </c:pt>
                <c:pt idx="35">
                  <c:v>0.78694988296235924</c:v>
                </c:pt>
                <c:pt idx="36">
                  <c:v>0.79009527361665099</c:v>
                </c:pt>
                <c:pt idx="37">
                  <c:v>0.79227501123422173</c:v>
                </c:pt>
                <c:pt idx="38">
                  <c:v>0.79448874376339074</c:v>
                </c:pt>
                <c:pt idx="39">
                  <c:v>0.79659113938170112</c:v>
                </c:pt>
                <c:pt idx="40">
                  <c:v>0.7986643649035382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0.37652840962439843</c:v>
                </c:pt>
                <c:pt idx="10">
                  <c:v>0.40182480874928223</c:v>
                </c:pt>
                <c:pt idx="11">
                  <c:v>0.47521627923214255</c:v>
                </c:pt>
                <c:pt idx="12">
                  <c:v>0.51479453896459015</c:v>
                </c:pt>
                <c:pt idx="13">
                  <c:v>0.53469570275482714</c:v>
                </c:pt>
                <c:pt idx="14">
                  <c:v>0.5500717918683522</c:v>
                </c:pt>
                <c:pt idx="15">
                  <c:v>0.56837627074733488</c:v>
                </c:pt>
                <c:pt idx="16">
                  <c:v>0.58867201562867277</c:v>
                </c:pt>
                <c:pt idx="17">
                  <c:v>0.61033700648771894</c:v>
                </c:pt>
                <c:pt idx="18">
                  <c:v>0.63046152845473658</c:v>
                </c:pt>
                <c:pt idx="19">
                  <c:v>0.65307131403485075</c:v>
                </c:pt>
                <c:pt idx="20">
                  <c:v>0.67502380946204188</c:v>
                </c:pt>
                <c:pt idx="21">
                  <c:v>0.68385584062527216</c:v>
                </c:pt>
                <c:pt idx="22">
                  <c:v>0.69564296726310382</c:v>
                </c:pt>
                <c:pt idx="23">
                  <c:v>0.7015470746062723</c:v>
                </c:pt>
                <c:pt idx="24">
                  <c:v>0.70684212790468459</c:v>
                </c:pt>
                <c:pt idx="25">
                  <c:v>0.74152893880336357</c:v>
                </c:pt>
                <c:pt idx="26">
                  <c:v>0.78586312457835339</c:v>
                </c:pt>
                <c:pt idx="27">
                  <c:v>0.78298195694075601</c:v>
                </c:pt>
                <c:pt idx="28">
                  <c:v>0.78214354240209638</c:v>
                </c:pt>
                <c:pt idx="29">
                  <c:v>0.78142872480578029</c:v>
                </c:pt>
                <c:pt idx="30">
                  <c:v>0.78074408444691767</c:v>
                </c:pt>
                <c:pt idx="31">
                  <c:v>0.78197793115358616</c:v>
                </c:pt>
                <c:pt idx="32">
                  <c:v>0.78311649778154868</c:v>
                </c:pt>
                <c:pt idx="33">
                  <c:v>0.78430467693108896</c:v>
                </c:pt>
                <c:pt idx="34">
                  <c:v>0.78557843931623272</c:v>
                </c:pt>
                <c:pt idx="35">
                  <c:v>0.78694988296235924</c:v>
                </c:pt>
                <c:pt idx="36">
                  <c:v>0.79009527361665099</c:v>
                </c:pt>
                <c:pt idx="37">
                  <c:v>0.79227501123422173</c:v>
                </c:pt>
                <c:pt idx="38">
                  <c:v>0.79448874376339074</c:v>
                </c:pt>
                <c:pt idx="39">
                  <c:v>0.79659113938170112</c:v>
                </c:pt>
                <c:pt idx="40">
                  <c:v>0.7986643649035382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0.37652840962439843</c:v>
                </c:pt>
                <c:pt idx="10">
                  <c:v>0.40182480874928223</c:v>
                </c:pt>
                <c:pt idx="11">
                  <c:v>0.47521627923214255</c:v>
                </c:pt>
                <c:pt idx="12">
                  <c:v>0.51479453896459015</c:v>
                </c:pt>
                <c:pt idx="13">
                  <c:v>0.53469570275482714</c:v>
                </c:pt>
                <c:pt idx="14">
                  <c:v>0.5500717918683522</c:v>
                </c:pt>
                <c:pt idx="15">
                  <c:v>0.56837627074733488</c:v>
                </c:pt>
                <c:pt idx="16">
                  <c:v>0.58867201562867277</c:v>
                </c:pt>
                <c:pt idx="17">
                  <c:v>0.61033700648771894</c:v>
                </c:pt>
                <c:pt idx="18">
                  <c:v>0.63046152845473658</c:v>
                </c:pt>
                <c:pt idx="19">
                  <c:v>0.65307131403485075</c:v>
                </c:pt>
                <c:pt idx="20">
                  <c:v>0.67502380946204188</c:v>
                </c:pt>
                <c:pt idx="21">
                  <c:v>0.68385584062527216</c:v>
                </c:pt>
                <c:pt idx="22">
                  <c:v>0.69564296726310382</c:v>
                </c:pt>
                <c:pt idx="23">
                  <c:v>0.7015470746062723</c:v>
                </c:pt>
                <c:pt idx="24">
                  <c:v>0.70684212790468459</c:v>
                </c:pt>
                <c:pt idx="25">
                  <c:v>0.74152893880336357</c:v>
                </c:pt>
                <c:pt idx="26">
                  <c:v>0.78586312457835339</c:v>
                </c:pt>
                <c:pt idx="27">
                  <c:v>0.78298195694075601</c:v>
                </c:pt>
                <c:pt idx="28">
                  <c:v>0.78214354240209638</c:v>
                </c:pt>
                <c:pt idx="29">
                  <c:v>0.78142872480578029</c:v>
                </c:pt>
                <c:pt idx="30">
                  <c:v>0.78074408444691767</c:v>
                </c:pt>
                <c:pt idx="31">
                  <c:v>0.78197793115358616</c:v>
                </c:pt>
                <c:pt idx="32">
                  <c:v>0.78311649778154868</c:v>
                </c:pt>
                <c:pt idx="33">
                  <c:v>0.78430467693108896</c:v>
                </c:pt>
                <c:pt idx="34">
                  <c:v>0.78557843931623272</c:v>
                </c:pt>
                <c:pt idx="35">
                  <c:v>0.78694988296235924</c:v>
                </c:pt>
                <c:pt idx="36">
                  <c:v>0.79009527361665099</c:v>
                </c:pt>
                <c:pt idx="37">
                  <c:v>0.79227501123422173</c:v>
                </c:pt>
                <c:pt idx="38">
                  <c:v>0.79448874376339074</c:v>
                </c:pt>
                <c:pt idx="39">
                  <c:v>0.79659113938170112</c:v>
                </c:pt>
                <c:pt idx="40">
                  <c:v>0.7986643649035382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21925.781459267029</c:v>
                </c:pt>
                <c:pt idx="10">
                  <c:v>21606.572624091357</c:v>
                </c:pt>
                <c:pt idx="11">
                  <c:v>21301.598667327075</c:v>
                </c:pt>
                <c:pt idx="12">
                  <c:v>20982.724323577193</c:v>
                </c:pt>
                <c:pt idx="13">
                  <c:v>20667.918172260961</c:v>
                </c:pt>
                <c:pt idx="14">
                  <c:v>20351.955177749871</c:v>
                </c:pt>
                <c:pt idx="15">
                  <c:v>20028.978709883668</c:v>
                </c:pt>
                <c:pt idx="16">
                  <c:v>19698.926328775815</c:v>
                </c:pt>
                <c:pt idx="17">
                  <c:v>19380.244300167975</c:v>
                </c:pt>
                <c:pt idx="18">
                  <c:v>19010.621933401308</c:v>
                </c:pt>
                <c:pt idx="19">
                  <c:v>18659.286681041634</c:v>
                </c:pt>
                <c:pt idx="20">
                  <c:v>18323.860412301387</c:v>
                </c:pt>
                <c:pt idx="21">
                  <c:v>17999.566963583718</c:v>
                </c:pt>
                <c:pt idx="22">
                  <c:v>17691.320503245443</c:v>
                </c:pt>
                <c:pt idx="23">
                  <c:v>17397.52115459889</c:v>
                </c:pt>
                <c:pt idx="24">
                  <c:v>17118.586412702436</c:v>
                </c:pt>
                <c:pt idx="25">
                  <c:v>16848.892176913963</c:v>
                </c:pt>
                <c:pt idx="26">
                  <c:v>16599.854184976604</c:v>
                </c:pt>
                <c:pt idx="27">
                  <c:v>16402.477254691548</c:v>
                </c:pt>
                <c:pt idx="28">
                  <c:v>16230.351940712424</c:v>
                </c:pt>
                <c:pt idx="29">
                  <c:v>16076.077720008247</c:v>
                </c:pt>
                <c:pt idx="30">
                  <c:v>15938.57479663393</c:v>
                </c:pt>
                <c:pt idx="31">
                  <c:v>15812.30195565856</c:v>
                </c:pt>
                <c:pt idx="32">
                  <c:v>15692.333281205916</c:v>
                </c:pt>
                <c:pt idx="33">
                  <c:v>15579.360161846502</c:v>
                </c:pt>
                <c:pt idx="34">
                  <c:v>15473.555440966531</c:v>
                </c:pt>
                <c:pt idx="35">
                  <c:v>15374.970706702405</c:v>
                </c:pt>
                <c:pt idx="36">
                  <c:v>15278.201345095165</c:v>
                </c:pt>
                <c:pt idx="37">
                  <c:v>15176.863462685305</c:v>
                </c:pt>
                <c:pt idx="38">
                  <c:v>15082.418526437903</c:v>
                </c:pt>
                <c:pt idx="39">
                  <c:v>14994.060292149799</c:v>
                </c:pt>
                <c:pt idx="40">
                  <c:v>14912.180329169099</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22034.957695461133</c:v>
                </c:pt>
                <c:pt idx="10">
                  <c:v>21840.490020479217</c:v>
                </c:pt>
                <c:pt idx="11">
                  <c:v>21729.586492758543</c:v>
                </c:pt>
                <c:pt idx="12">
                  <c:v>21382.124345112345</c:v>
                </c:pt>
                <c:pt idx="13">
                  <c:v>20936.044929161944</c:v>
                </c:pt>
                <c:pt idx="14">
                  <c:v>20517.0376590874</c:v>
                </c:pt>
                <c:pt idx="15">
                  <c:v>20121.929439928608</c:v>
                </c:pt>
                <c:pt idx="16">
                  <c:v>19740.732584496505</c:v>
                </c:pt>
                <c:pt idx="17">
                  <c:v>19379.916906488106</c:v>
                </c:pt>
                <c:pt idx="18">
                  <c:v>19037.875705438451</c:v>
                </c:pt>
                <c:pt idx="19">
                  <c:v>18715.406141382853</c:v>
                </c:pt>
                <c:pt idx="20">
                  <c:v>18409.28724486471</c:v>
                </c:pt>
                <c:pt idx="21">
                  <c:v>18015.910671669779</c:v>
                </c:pt>
                <c:pt idx="22">
                  <c:v>17633.949024226356</c:v>
                </c:pt>
                <c:pt idx="23">
                  <c:v>17276.822281965535</c:v>
                </c:pt>
                <c:pt idx="24">
                  <c:v>16942.759784930386</c:v>
                </c:pt>
                <c:pt idx="25">
                  <c:v>16625.851811136246</c:v>
                </c:pt>
                <c:pt idx="26">
                  <c:v>16320.723961724783</c:v>
                </c:pt>
                <c:pt idx="27">
                  <c:v>16035.879873492908</c:v>
                </c:pt>
                <c:pt idx="28">
                  <c:v>15782.835780682077</c:v>
                </c:pt>
                <c:pt idx="29">
                  <c:v>15555.409851965385</c:v>
                </c:pt>
                <c:pt idx="30">
                  <c:v>15352.057655900961</c:v>
                </c:pt>
                <c:pt idx="31">
                  <c:v>15166.410241914922</c:v>
                </c:pt>
                <c:pt idx="32">
                  <c:v>14997.616075926106</c:v>
                </c:pt>
                <c:pt idx="33">
                  <c:v>14845.630481331435</c:v>
                </c:pt>
                <c:pt idx="34">
                  <c:v>14709.918418625848</c:v>
                </c:pt>
                <c:pt idx="35">
                  <c:v>14589.865629573809</c:v>
                </c:pt>
                <c:pt idx="36">
                  <c:v>14479.269356709574</c:v>
                </c:pt>
                <c:pt idx="37">
                  <c:v>14372.917261006496</c:v>
                </c:pt>
                <c:pt idx="38">
                  <c:v>14275.632943327248</c:v>
                </c:pt>
                <c:pt idx="39">
                  <c:v>14186.175120699827</c:v>
                </c:pt>
                <c:pt idx="40">
                  <c:v>14104.597221255261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21886.037801581235</c:v>
                </c:pt>
                <c:pt idx="10">
                  <c:v>21596.568416661263</c:v>
                </c:pt>
                <c:pt idx="11">
                  <c:v>21332.399817225036</c:v>
                </c:pt>
                <c:pt idx="12">
                  <c:v>20839.391721939915</c:v>
                </c:pt>
                <c:pt idx="13">
                  <c:v>20390.14824106617</c:v>
                </c:pt>
                <c:pt idx="14">
                  <c:v>19967.555390760594</c:v>
                </c:pt>
                <c:pt idx="15">
                  <c:v>19569.032134976405</c:v>
                </c:pt>
                <c:pt idx="16">
                  <c:v>19184.757193679376</c:v>
                </c:pt>
                <c:pt idx="17">
                  <c:v>18820.969125892887</c:v>
                </c:pt>
                <c:pt idx="18">
                  <c:v>18476.119089274984</c:v>
                </c:pt>
                <c:pt idx="19">
                  <c:v>18150.142386335086</c:v>
                </c:pt>
                <c:pt idx="20">
                  <c:v>17840.55691208956</c:v>
                </c:pt>
                <c:pt idx="21">
                  <c:v>17443.39537191538</c:v>
                </c:pt>
                <c:pt idx="22">
                  <c:v>17056.966010657874</c:v>
                </c:pt>
                <c:pt idx="23">
                  <c:v>16695.007049392225</c:v>
                </c:pt>
                <c:pt idx="24">
                  <c:v>16355.289212225442</c:v>
                </c:pt>
                <c:pt idx="25">
                  <c:v>16033.831148322228</c:v>
                </c:pt>
                <c:pt idx="26">
                  <c:v>15724.296537880396</c:v>
                </c:pt>
                <c:pt idx="27">
                  <c:v>15434.517772425919</c:v>
                </c:pt>
                <c:pt idx="28">
                  <c:v>15176.573275722139</c:v>
                </c:pt>
                <c:pt idx="29">
                  <c:v>14943.987477073932</c:v>
                </c:pt>
                <c:pt idx="30">
                  <c:v>14735.406932484282</c:v>
                </c:pt>
                <c:pt idx="31">
                  <c:v>14544.000058035494</c:v>
                </c:pt>
                <c:pt idx="32">
                  <c:v>14369.612183040712</c:v>
                </c:pt>
                <c:pt idx="33">
                  <c:v>14211.906954163189</c:v>
                </c:pt>
                <c:pt idx="34">
                  <c:v>14070.270918531854</c:v>
                </c:pt>
                <c:pt idx="35">
                  <c:v>13944.057632304906</c:v>
                </c:pt>
                <c:pt idx="36">
                  <c:v>13826.604776068532</c:v>
                </c:pt>
                <c:pt idx="37">
                  <c:v>13715.340597858301</c:v>
                </c:pt>
                <c:pt idx="38">
                  <c:v>13612.965899029852</c:v>
                </c:pt>
                <c:pt idx="39">
                  <c:v>13518.56719548157</c:v>
                </c:pt>
                <c:pt idx="40">
                  <c:v>13432.016989397875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53.495734497914704</c:v>
                </c:pt>
                <c:pt idx="10" formatCode="_(* #,##0_);_(* \(#,##0\);_(* &quot;-&quot;_);_(@_)">
                  <c:v>51.132056241912686</c:v>
                </c:pt>
                <c:pt idx="11" formatCode="_(* #,##0_);_(* \(#,##0\);_(* &quot;-&quot;_);_(@_)">
                  <c:v>51.275503644747033</c:v>
                </c:pt>
                <c:pt idx="12" formatCode="_(* #,##0_);_(* \(#,##0\);_(* &quot;-&quot;_);_(@_)">
                  <c:v>50.359792847133136</c:v>
                </c:pt>
                <c:pt idx="13" formatCode="_(* #,##0_);_(* \(#,##0\);_(* &quot;-&quot;_);_(@_)">
                  <c:v>49.986151288104502</c:v>
                </c:pt>
                <c:pt idx="14" formatCode="_(* #,##0_);_(* \(#,##0\);_(* &quot;-&quot;_);_(@_)">
                  <c:v>51.073828378576259</c:v>
                </c:pt>
                <c:pt idx="15" formatCode="_(* #,##0_);_(* \(#,##0\);_(* &quot;-&quot;_);_(@_)">
                  <c:v>51.201731866750301</c:v>
                </c:pt>
                <c:pt idx="16" formatCode="_(* #,##0_);_(* \(#,##0\);_(* &quot;-&quot;_);_(@_)">
                  <c:v>50.537069535396682</c:v>
                </c:pt>
                <c:pt idx="17" formatCode="_(* #,##0_);_(* \(#,##0\);_(* &quot;-&quot;_);_(@_)">
                  <c:v>49.329037288601171</c:v>
                </c:pt>
                <c:pt idx="18" formatCode="_(* #,##0_);_(* \(#,##0\);_(* &quot;-&quot;_);_(@_)">
                  <c:v>48.528826860263919</c:v>
                </c:pt>
                <c:pt idx="19" formatCode="_(* #,##0_);_(* \(#,##0\);_(* &quot;-&quot;_);_(@_)">
                  <c:v>46.965110037548421</c:v>
                </c:pt>
                <c:pt idx="20" formatCode="_(* #,##0_);_(* \(#,##0\);_(* &quot;-&quot;_);_(@_)">
                  <c:v>45.521353842330129</c:v>
                </c:pt>
                <c:pt idx="21" formatCode="_(* #,##0_);_(* \(#,##0\);_(* &quot;-&quot;_);_(@_)">
                  <c:v>44.085520531554444</c:v>
                </c:pt>
                <c:pt idx="22" formatCode="_(* #,##0_);_(* \(#,##0\);_(* &quot;-&quot;_);_(@_)">
                  <c:v>41.932973316894042</c:v>
                </c:pt>
                <c:pt idx="23" formatCode="_(* #,##0_);_(* \(#,##0\);_(* &quot;-&quot;_);_(@_)">
                  <c:v>41.05621402258253</c:v>
                </c:pt>
                <c:pt idx="24" formatCode="_(* #,##0_);_(* \(#,##0\);_(* &quot;-&quot;_);_(@_)">
                  <c:v>40.488564369250604</c:v>
                </c:pt>
                <c:pt idx="25" formatCode="_(* #,##0_);_(* \(#,##0\);_(* &quot;-&quot;_);_(@_)">
                  <c:v>31.941700142198854</c:v>
                </c:pt>
                <c:pt idx="26" formatCode="_(* #,##0_);_(* \(#,##0\);_(* &quot;-&quot;_);_(@_)">
                  <c:v>22.500187169642892</c:v>
                </c:pt>
                <c:pt idx="27" formatCode="_(* #,##0_);_(* \(#,##0\);_(* &quot;-&quot;_);_(@_)">
                  <c:v>17.78129721201541</c:v>
                </c:pt>
                <c:pt idx="28" formatCode="_(* #,##0_);_(* \(#,##0\);_(* &quot;-&quot;_);_(@_)">
                  <c:v>14.837853800490763</c:v>
                </c:pt>
                <c:pt idx="29" formatCode="_(* #,##0_);_(* \(#,##0\);_(* &quot;-&quot;_);_(@_)">
                  <c:v>11.894410388966124</c:v>
                </c:pt>
                <c:pt idx="30" formatCode="_(* #,##0_);_(* \(#,##0\);_(* &quot;-&quot;_);_(@_)">
                  <c:v>8.95096697744148</c:v>
                </c:pt>
                <c:pt idx="31" formatCode="_(* #,##0_);_(* \(#,##0\);_(* &quot;-&quot;_);_(@_)">
                  <c:v>7.4084275294165494</c:v>
                </c:pt>
                <c:pt idx="32" formatCode="_(* #,##0_);_(* \(#,##0\);_(* &quot;-&quot;_);_(@_)">
                  <c:v>5.8658880813916188</c:v>
                </c:pt>
                <c:pt idx="33" formatCode="_(* #,##0_);_(* \(#,##0\);_(* &quot;-&quot;_);_(@_)">
                  <c:v>4.3233486333666873</c:v>
                </c:pt>
                <c:pt idx="34" formatCode="_(* #,##0_);_(* \(#,##0\);_(* &quot;-&quot;_);_(@_)">
                  <c:v>2.7808091853417563</c:v>
                </c:pt>
                <c:pt idx="35" formatCode="_(* #,##0_);_(* \(#,##0\);_(* &quot;-&quot;_);_(@_)">
                  <c:v>1.2382697373168254</c:v>
                </c:pt>
                <c:pt idx="36" formatCode="_(* #,##0_);_(* \(#,##0\);_(* &quot;-&quot;_);_(@_)">
                  <c:v>1.0375101997812246</c:v>
                </c:pt>
                <c:pt idx="37" formatCode="_(* #,##0_);_(* \(#,##0\);_(* &quot;-&quot;_);_(@_)">
                  <c:v>0.83675066224562367</c:v>
                </c:pt>
                <c:pt idx="38" formatCode="_(* #,##0_);_(* \(#,##0\);_(* &quot;-&quot;_);_(@_)">
                  <c:v>0.63599112471002262</c:v>
                </c:pt>
                <c:pt idx="39" formatCode="_(* #,##0_);_(* \(#,##0\);_(* &quot;-&quot;_);_(@_)">
                  <c:v>0.43523158717442151</c:v>
                </c:pt>
                <c:pt idx="40" formatCode="_(* #,##0_);_(* \(#,##0\);_(* &quot;-&quot;_);_(@_)">
                  <c:v>0.23447204963882057</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0.17319745173144474</c:v>
                </c:pt>
                <c:pt idx="20">
                  <c:v>0.16954816382555338</c:v>
                </c:pt>
                <c:pt idx="21">
                  <c:v>0.20191576760538388</c:v>
                </c:pt>
                <c:pt idx="22">
                  <c:v>0.22335454126448873</c:v>
                </c:pt>
                <c:pt idx="23">
                  <c:v>0.24611188164978726</c:v>
                </c:pt>
                <c:pt idx="24">
                  <c:v>0.27572987316346476</c:v>
                </c:pt>
                <c:pt idx="25">
                  <c:v>0.29670515725495739</c:v>
                </c:pt>
                <c:pt idx="26">
                  <c:v>0.30094561842312217</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0.36177001643626483</c:v>
                </c:pt>
                <c:pt idx="36">
                  <c:v>0.33321823879140899</c:v>
                </c:pt>
                <c:pt idx="37">
                  <c:v>0.32508358104064694</c:v>
                </c:pt>
                <c:pt idx="38">
                  <c:v>0.32527933662439845</c:v>
                </c:pt>
                <c:pt idx="39">
                  <c:v>0.32539461288885452</c:v>
                </c:pt>
                <c:pt idx="40">
                  <c:v>0.32523625555257951</c:v>
                </c:pt>
                <c:pt idx="41">
                  <c:v>0.33758481679476227</c:v>
                </c:pt>
                <c:pt idx="42">
                  <c:v>0.34881469113150709</c:v>
                </c:pt>
                <c:pt idx="43">
                  <c:v>0.35927720293952825</c:v>
                </c:pt>
                <c:pt idx="44">
                  <c:v>0.36907916925942497</c:v>
                </c:pt>
                <c:pt idx="45">
                  <c:v>0.37827491848304584</c:v>
                </c:pt>
                <c:pt idx="46">
                  <c:v>0.39291745314364346</c:v>
                </c:pt>
                <c:pt idx="47">
                  <c:v>0.40500974956932922</c:v>
                </c:pt>
                <c:pt idx="48">
                  <c:v>0.41629212341766397</c:v>
                </c:pt>
                <c:pt idx="49">
                  <c:v>0.42662818929028812</c:v>
                </c:pt>
                <c:pt idx="50">
                  <c:v>0.43620098748154501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0.17319745173144474</c:v>
                </c:pt>
                <c:pt idx="20">
                  <c:v>0.16954816382555338</c:v>
                </c:pt>
                <c:pt idx="21">
                  <c:v>0.20191576760538388</c:v>
                </c:pt>
                <c:pt idx="22">
                  <c:v>0.22335454126448873</c:v>
                </c:pt>
                <c:pt idx="23">
                  <c:v>0.24611188164978726</c:v>
                </c:pt>
                <c:pt idx="24">
                  <c:v>0.27572987316346476</c:v>
                </c:pt>
                <c:pt idx="25">
                  <c:v>0.29670515725495739</c:v>
                </c:pt>
                <c:pt idx="26">
                  <c:v>0.30094561842312217</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0.36177001643626483</c:v>
                </c:pt>
                <c:pt idx="36">
                  <c:v>0.33321823879140899</c:v>
                </c:pt>
                <c:pt idx="37">
                  <c:v>0.32508358104064694</c:v>
                </c:pt>
                <c:pt idx="38">
                  <c:v>0.32527933662439845</c:v>
                </c:pt>
                <c:pt idx="39">
                  <c:v>0.32539461288885452</c:v>
                </c:pt>
                <c:pt idx="40">
                  <c:v>0.32523625555257951</c:v>
                </c:pt>
                <c:pt idx="41">
                  <c:v>0.33758481679476227</c:v>
                </c:pt>
                <c:pt idx="42">
                  <c:v>0.34881469113150709</c:v>
                </c:pt>
                <c:pt idx="43">
                  <c:v>0.35927720293952825</c:v>
                </c:pt>
                <c:pt idx="44">
                  <c:v>0.36907916925942497</c:v>
                </c:pt>
                <c:pt idx="45">
                  <c:v>0.37827491848304584</c:v>
                </c:pt>
                <c:pt idx="46">
                  <c:v>0.39291745314364346</c:v>
                </c:pt>
                <c:pt idx="47">
                  <c:v>0.40500974956932922</c:v>
                </c:pt>
                <c:pt idx="48">
                  <c:v>0.41629212341766397</c:v>
                </c:pt>
                <c:pt idx="49">
                  <c:v>0.42662818929028812</c:v>
                </c:pt>
                <c:pt idx="50">
                  <c:v>0.43620098748154501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0.1589262017034847</c:v>
                </c:pt>
                <c:pt idx="20">
                  <c:v>0.16758616013099048</c:v>
                </c:pt>
                <c:pt idx="21">
                  <c:v>0.26553132931308865</c:v>
                </c:pt>
                <c:pt idx="22">
                  <c:v>0.28688527869320646</c:v>
                </c:pt>
                <c:pt idx="23">
                  <c:v>0.29135593588242947</c:v>
                </c:pt>
                <c:pt idx="24">
                  <c:v>0.29213779631812875</c:v>
                </c:pt>
                <c:pt idx="25">
                  <c:v>0.29531524673892984</c:v>
                </c:pt>
                <c:pt idx="26">
                  <c:v>0.30025423701033693</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0.39121596804274272</c:v>
                </c:pt>
                <c:pt idx="36">
                  <c:v>0.43072783169761708</c:v>
                </c:pt>
                <c:pt idx="37">
                  <c:v>0.42520403923452976</c:v>
                </c:pt>
                <c:pt idx="38">
                  <c:v>0.42276904897106915</c:v>
                </c:pt>
                <c:pt idx="39">
                  <c:v>0.42044808956748159</c:v>
                </c:pt>
                <c:pt idx="40">
                  <c:v>0.41812510147014614</c:v>
                </c:pt>
                <c:pt idx="41">
                  <c:v>0.41891823152976793</c:v>
                </c:pt>
                <c:pt idx="42">
                  <c:v>0.41958968710050459</c:v>
                </c:pt>
                <c:pt idx="43">
                  <c:v>0.42033115844777702</c:v>
                </c:pt>
                <c:pt idx="44">
                  <c:v>0.42118968176281724</c:v>
                </c:pt>
                <c:pt idx="45">
                  <c:v>0.42218033994103987</c:v>
                </c:pt>
                <c:pt idx="46">
                  <c:v>0.42600528096215839</c:v>
                </c:pt>
                <c:pt idx="47">
                  <c:v>0.42853482113932728</c:v>
                </c:pt>
                <c:pt idx="48">
                  <c:v>0.43107500374239638</c:v>
                </c:pt>
                <c:pt idx="49">
                  <c:v>0.43344555989420908</c:v>
                </c:pt>
                <c:pt idx="50">
                  <c:v>0.43575245492632042</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0.1589262017034847</c:v>
                </c:pt>
                <c:pt idx="20">
                  <c:v>0.16758616013099048</c:v>
                </c:pt>
                <c:pt idx="21">
                  <c:v>0.26553132931308865</c:v>
                </c:pt>
                <c:pt idx="22">
                  <c:v>0.28688527869320646</c:v>
                </c:pt>
                <c:pt idx="23">
                  <c:v>0.29135593588242947</c:v>
                </c:pt>
                <c:pt idx="24">
                  <c:v>0.29213779631812875</c:v>
                </c:pt>
                <c:pt idx="25">
                  <c:v>0.29531524673892984</c:v>
                </c:pt>
                <c:pt idx="26">
                  <c:v>0.30025423701033693</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0.39121596804274272</c:v>
                </c:pt>
                <c:pt idx="36">
                  <c:v>0.43072783169761708</c:v>
                </c:pt>
                <c:pt idx="37">
                  <c:v>0.42520403923452976</c:v>
                </c:pt>
                <c:pt idx="38">
                  <c:v>0.42276904897106915</c:v>
                </c:pt>
                <c:pt idx="39">
                  <c:v>0.42044808956748159</c:v>
                </c:pt>
                <c:pt idx="40">
                  <c:v>0.41812510147014614</c:v>
                </c:pt>
                <c:pt idx="41">
                  <c:v>0.41891823152976793</c:v>
                </c:pt>
                <c:pt idx="42">
                  <c:v>0.41958968710050459</c:v>
                </c:pt>
                <c:pt idx="43">
                  <c:v>0.42033115844777702</c:v>
                </c:pt>
                <c:pt idx="44">
                  <c:v>0.42118968176281724</c:v>
                </c:pt>
                <c:pt idx="45">
                  <c:v>0.42218033994103987</c:v>
                </c:pt>
                <c:pt idx="46">
                  <c:v>0.42600528096215839</c:v>
                </c:pt>
                <c:pt idx="47">
                  <c:v>0.42853482113932728</c:v>
                </c:pt>
                <c:pt idx="48">
                  <c:v>0.43107500374239638</c:v>
                </c:pt>
                <c:pt idx="49">
                  <c:v>0.43344555989420908</c:v>
                </c:pt>
                <c:pt idx="50">
                  <c:v>0.43575245492632042</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0.1589262017034847</c:v>
                </c:pt>
                <c:pt idx="20">
                  <c:v>0.16758616013099048</c:v>
                </c:pt>
                <c:pt idx="21">
                  <c:v>0.26553132931308865</c:v>
                </c:pt>
                <c:pt idx="22">
                  <c:v>0.28688527869320646</c:v>
                </c:pt>
                <c:pt idx="23">
                  <c:v>0.29135593588242947</c:v>
                </c:pt>
                <c:pt idx="24">
                  <c:v>0.29213779631812875</c:v>
                </c:pt>
                <c:pt idx="25">
                  <c:v>0.29531524673892984</c:v>
                </c:pt>
                <c:pt idx="26">
                  <c:v>0.30025423701033693</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0.39121596804274272</c:v>
                </c:pt>
                <c:pt idx="36">
                  <c:v>0.43072783169761708</c:v>
                </c:pt>
                <c:pt idx="37">
                  <c:v>0.42520403923452976</c:v>
                </c:pt>
                <c:pt idx="38">
                  <c:v>0.42276904897106915</c:v>
                </c:pt>
                <c:pt idx="39">
                  <c:v>0.42044808956748159</c:v>
                </c:pt>
                <c:pt idx="40">
                  <c:v>0.41812510147014614</c:v>
                </c:pt>
                <c:pt idx="41">
                  <c:v>0.41891823152976793</c:v>
                </c:pt>
                <c:pt idx="42">
                  <c:v>0.41958968710050459</c:v>
                </c:pt>
                <c:pt idx="43">
                  <c:v>0.42033115844777702</c:v>
                </c:pt>
                <c:pt idx="44">
                  <c:v>0.42118968176281724</c:v>
                </c:pt>
                <c:pt idx="45">
                  <c:v>0.42218033994103987</c:v>
                </c:pt>
                <c:pt idx="46">
                  <c:v>0.42600528096215839</c:v>
                </c:pt>
                <c:pt idx="47">
                  <c:v>0.42853482113932728</c:v>
                </c:pt>
                <c:pt idx="48">
                  <c:v>0.43107500374239638</c:v>
                </c:pt>
                <c:pt idx="49">
                  <c:v>0.43344555989420908</c:v>
                </c:pt>
                <c:pt idx="50">
                  <c:v>0.43575245492632042</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0.1589262017034847</c:v>
                </c:pt>
                <c:pt idx="20">
                  <c:v>0.16758616013099048</c:v>
                </c:pt>
                <c:pt idx="21">
                  <c:v>0.26553132931308865</c:v>
                </c:pt>
                <c:pt idx="22">
                  <c:v>0.28688527869320646</c:v>
                </c:pt>
                <c:pt idx="23">
                  <c:v>0.29135593588242947</c:v>
                </c:pt>
                <c:pt idx="24">
                  <c:v>0.29213779631812875</c:v>
                </c:pt>
                <c:pt idx="25">
                  <c:v>0.29531524673892984</c:v>
                </c:pt>
                <c:pt idx="26">
                  <c:v>0.30025423701033693</c:v>
                </c:pt>
                <c:pt idx="27">
                  <c:v>0.3065711826671903</c:v>
                </c:pt>
                <c:pt idx="28">
                  <c:v>0.31157315481005166</c:v>
                </c:pt>
                <c:pt idx="29">
                  <c:v>0.31941476685457393</c:v>
                </c:pt>
                <c:pt idx="30">
                  <c:v>0.3268883557735357</c:v>
                </c:pt>
                <c:pt idx="31">
                  <c:v>0.33462375034984448</c:v>
                </c:pt>
                <c:pt idx="32">
                  <c:v>0.34517500304929016</c:v>
                </c:pt>
                <c:pt idx="33">
                  <c:v>0.35193746497352119</c:v>
                </c:pt>
                <c:pt idx="34">
                  <c:v>0.35819600168190047</c:v>
                </c:pt>
                <c:pt idx="35">
                  <c:v>0.39121596804274272</c:v>
                </c:pt>
                <c:pt idx="36">
                  <c:v>0.43072783169761708</c:v>
                </c:pt>
                <c:pt idx="37">
                  <c:v>0.42520403923452976</c:v>
                </c:pt>
                <c:pt idx="38">
                  <c:v>0.42276904897106915</c:v>
                </c:pt>
                <c:pt idx="39">
                  <c:v>0.42044808956748159</c:v>
                </c:pt>
                <c:pt idx="40">
                  <c:v>0.41812510147014614</c:v>
                </c:pt>
                <c:pt idx="41">
                  <c:v>0.41891823152976793</c:v>
                </c:pt>
                <c:pt idx="42">
                  <c:v>0.41958968710050459</c:v>
                </c:pt>
                <c:pt idx="43">
                  <c:v>0.42033115844777702</c:v>
                </c:pt>
                <c:pt idx="44">
                  <c:v>0.42118968176281724</c:v>
                </c:pt>
                <c:pt idx="45">
                  <c:v>0.42218033994103987</c:v>
                </c:pt>
                <c:pt idx="46">
                  <c:v>0.42600528096215839</c:v>
                </c:pt>
                <c:pt idx="47">
                  <c:v>0.42853482113932728</c:v>
                </c:pt>
                <c:pt idx="48">
                  <c:v>0.43107500374239638</c:v>
                </c:pt>
                <c:pt idx="49">
                  <c:v>0.43344555989420908</c:v>
                </c:pt>
                <c:pt idx="50">
                  <c:v>0.43575245492632042</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811</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opLeftCell="A11" workbookViewId="0">
      <selection activeCell="D42" sqref="D42"/>
    </sheetView>
  </sheetViews>
  <sheetFormatPr defaultRowHeight="15"/>
  <sheetData>
    <row r="6" spans="1:39">
      <c r="A6" t="s">
        <v>218</v>
      </c>
    </row>
    <row r="7" spans="1:39">
      <c r="A7" s="1165" t="s">
        <v>687</v>
      </c>
      <c r="B7" s="1165" t="s">
        <v>688</v>
      </c>
      <c r="C7" s="1165" t="s">
        <v>689</v>
      </c>
      <c r="D7" s="1165" t="s">
        <v>690</v>
      </c>
      <c r="E7" s="1165" t="s">
        <v>691</v>
      </c>
      <c r="F7" s="1165" t="s">
        <v>692</v>
      </c>
      <c r="G7" s="1165" t="s">
        <v>693</v>
      </c>
      <c r="H7" s="1165" t="s">
        <v>694</v>
      </c>
      <c r="I7" s="1165" t="s">
        <v>695</v>
      </c>
      <c r="J7" s="1165" t="s">
        <v>696</v>
      </c>
      <c r="K7" s="1165" t="s">
        <v>697</v>
      </c>
      <c r="L7" s="1165" t="s">
        <v>698</v>
      </c>
      <c r="M7" s="1165" t="s">
        <v>699</v>
      </c>
      <c r="N7" s="1165" t="s">
        <v>700</v>
      </c>
      <c r="O7" s="1165" t="s">
        <v>701</v>
      </c>
      <c r="P7" s="1165" t="s">
        <v>702</v>
      </c>
      <c r="Q7" s="1165" t="s">
        <v>703</v>
      </c>
      <c r="R7" s="1165" t="s">
        <v>704</v>
      </c>
      <c r="S7" s="1165" t="s">
        <v>705</v>
      </c>
      <c r="T7" s="1165" t="s">
        <v>706</v>
      </c>
      <c r="U7" s="1165" t="s">
        <v>707</v>
      </c>
      <c r="V7" s="1165" t="s">
        <v>708</v>
      </c>
      <c r="W7" s="1165" t="s">
        <v>709</v>
      </c>
      <c r="X7" s="1165" t="s">
        <v>710</v>
      </c>
      <c r="Y7" s="1165" t="s">
        <v>711</v>
      </c>
      <c r="Z7" s="1165" t="s">
        <v>712</v>
      </c>
      <c r="AA7" s="1165" t="s">
        <v>713</v>
      </c>
      <c r="AB7" s="1165" t="s">
        <v>714</v>
      </c>
      <c r="AC7" s="1165" t="s">
        <v>715</v>
      </c>
      <c r="AD7" s="1165" t="s">
        <v>716</v>
      </c>
      <c r="AE7" s="1165" t="s">
        <v>717</v>
      </c>
      <c r="AF7" s="1165" t="s">
        <v>718</v>
      </c>
      <c r="AG7" s="1165"/>
      <c r="AH7" s="1165"/>
      <c r="AI7" s="1165"/>
      <c r="AJ7" s="1165"/>
      <c r="AK7" s="1165"/>
      <c r="AL7" s="1165"/>
      <c r="AM7" s="1165"/>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165" t="s">
        <v>687</v>
      </c>
      <c r="B15" s="1165" t="s">
        <v>688</v>
      </c>
      <c r="C15" s="1165" t="s">
        <v>689</v>
      </c>
      <c r="D15" s="1165" t="s">
        <v>690</v>
      </c>
      <c r="E15" s="1165" t="s">
        <v>691</v>
      </c>
      <c r="F15" s="1165" t="s">
        <v>692</v>
      </c>
      <c r="G15" s="1165" t="s">
        <v>693</v>
      </c>
      <c r="H15" s="1165" t="s">
        <v>694</v>
      </c>
      <c r="I15" s="1165" t="s">
        <v>695</v>
      </c>
      <c r="J15" s="1165" t="s">
        <v>696</v>
      </c>
      <c r="K15" s="1165" t="s">
        <v>697</v>
      </c>
      <c r="L15" s="1165" t="s">
        <v>698</v>
      </c>
      <c r="M15" s="1165" t="s">
        <v>699</v>
      </c>
      <c r="N15" s="1165" t="s">
        <v>700</v>
      </c>
      <c r="O15" s="1165" t="s">
        <v>701</v>
      </c>
      <c r="P15" s="1165" t="s">
        <v>702</v>
      </c>
      <c r="Q15" s="1165" t="s">
        <v>703</v>
      </c>
      <c r="R15" s="1165" t="s">
        <v>704</v>
      </c>
      <c r="S15" s="1165" t="s">
        <v>705</v>
      </c>
      <c r="T15" s="1165" t="s">
        <v>706</v>
      </c>
      <c r="U15" s="1165" t="s">
        <v>707</v>
      </c>
      <c r="V15" s="1165" t="s">
        <v>708</v>
      </c>
      <c r="W15" s="1165" t="s">
        <v>709</v>
      </c>
      <c r="X15" s="1165" t="s">
        <v>710</v>
      </c>
      <c r="Y15" s="1165" t="s">
        <v>711</v>
      </c>
      <c r="Z15" s="1165" t="s">
        <v>712</v>
      </c>
      <c r="AA15" s="1165" t="s">
        <v>713</v>
      </c>
      <c r="AB15" s="1165" t="s">
        <v>714</v>
      </c>
      <c r="AC15" s="1165" t="s">
        <v>715</v>
      </c>
      <c r="AD15" s="1165" t="s">
        <v>716</v>
      </c>
      <c r="AE15" s="1165" t="s">
        <v>717</v>
      </c>
      <c r="AF15" s="1165" t="s">
        <v>718</v>
      </c>
      <c r="AG15" s="1165"/>
      <c r="AH15" s="1165"/>
      <c r="AI15" s="1165"/>
      <c r="AJ15" s="1165"/>
      <c r="AK15" s="1165"/>
      <c r="AL15" s="1165"/>
      <c r="AM15" s="1165"/>
    </row>
    <row r="16" spans="1:39">
      <c r="A16">
        <v>4436.7667702662829</v>
      </c>
      <c r="B16">
        <v>4156.6412676508144</v>
      </c>
      <c r="C16">
        <v>4293.1482366506107</v>
      </c>
      <c r="D16">
        <v>4403.1093139322493</v>
      </c>
      <c r="E16">
        <v>4507.0199361395535</v>
      </c>
      <c r="F16">
        <v>4624.8292728728675</v>
      </c>
      <c r="G16">
        <v>4737.3047749260231</v>
      </c>
      <c r="H16">
        <v>4839.0369685354799</v>
      </c>
      <c r="I16">
        <v>4937.5264455117067</v>
      </c>
      <c r="J16">
        <v>5030.8888370380655</v>
      </c>
      <c r="K16">
        <v>5147.1070268118992</v>
      </c>
      <c r="L16">
        <v>5262.1824199605107</v>
      </c>
      <c r="M16">
        <v>5387.7672265735409</v>
      </c>
      <c r="N16">
        <v>5535.3993263804541</v>
      </c>
      <c r="O16">
        <v>5694.7516404688276</v>
      </c>
      <c r="P16">
        <v>5880.7243334969316</v>
      </c>
      <c r="Q16">
        <v>6030.7021264561972</v>
      </c>
      <c r="R16">
        <v>6175.9287194301432</v>
      </c>
      <c r="S16">
        <v>6338.2033947034479</v>
      </c>
      <c r="T16">
        <v>6499.2753713641341</v>
      </c>
      <c r="U16">
        <v>6668.6889746882025</v>
      </c>
      <c r="V16">
        <v>6840.2471934556306</v>
      </c>
      <c r="W16">
        <v>7028.9784058300729</v>
      </c>
      <c r="X16">
        <v>7212.2527913428794</v>
      </c>
      <c r="Y16">
        <v>7399.5467373897327</v>
      </c>
      <c r="Z16">
        <v>7593.410855692503</v>
      </c>
      <c r="AA16">
        <v>7794.8943128616638</v>
      </c>
      <c r="AB16">
        <v>8018.9246673642956</v>
      </c>
      <c r="AC16">
        <v>8179.7504647675678</v>
      </c>
      <c r="AD16">
        <v>8346.3110427603078</v>
      </c>
      <c r="AE16">
        <v>8507.9647859669603</v>
      </c>
      <c r="AF16">
        <v>8670.5902188603068</v>
      </c>
    </row>
    <row r="23" spans="1:39">
      <c r="A23" t="s">
        <v>685</v>
      </c>
    </row>
    <row r="24" spans="1:39">
      <c r="A24" s="1165" t="s">
        <v>687</v>
      </c>
      <c r="B24" s="1165" t="s">
        <v>688</v>
      </c>
      <c r="C24" s="1165" t="s">
        <v>689</v>
      </c>
      <c r="D24" s="1165" t="s">
        <v>690</v>
      </c>
      <c r="E24" s="1165" t="s">
        <v>691</v>
      </c>
      <c r="F24" s="1165" t="s">
        <v>692</v>
      </c>
      <c r="G24" s="1165" t="s">
        <v>693</v>
      </c>
      <c r="H24" s="1165" t="s">
        <v>694</v>
      </c>
      <c r="I24" s="1165" t="s">
        <v>695</v>
      </c>
      <c r="J24" s="1165" t="s">
        <v>696</v>
      </c>
      <c r="K24" s="1165" t="s">
        <v>697</v>
      </c>
      <c r="L24" s="1165" t="s">
        <v>698</v>
      </c>
      <c r="M24" s="1165" t="s">
        <v>699</v>
      </c>
      <c r="N24" s="1165" t="s">
        <v>700</v>
      </c>
      <c r="O24" s="1165" t="s">
        <v>701</v>
      </c>
      <c r="P24" s="1165" t="s">
        <v>702</v>
      </c>
      <c r="Q24" s="1165" t="s">
        <v>703</v>
      </c>
      <c r="R24" s="1165" t="s">
        <v>704</v>
      </c>
      <c r="S24" s="1165" t="s">
        <v>705</v>
      </c>
      <c r="T24" s="1165" t="s">
        <v>706</v>
      </c>
      <c r="U24" s="1165" t="s">
        <v>707</v>
      </c>
      <c r="V24" s="1165" t="s">
        <v>708</v>
      </c>
      <c r="W24" s="1165" t="s">
        <v>709</v>
      </c>
      <c r="X24" s="1165" t="s">
        <v>710</v>
      </c>
      <c r="Y24" s="1165" t="s">
        <v>711</v>
      </c>
      <c r="Z24" s="1165" t="s">
        <v>712</v>
      </c>
      <c r="AA24" s="1165" t="s">
        <v>713</v>
      </c>
      <c r="AB24" s="1165" t="s">
        <v>714</v>
      </c>
      <c r="AC24" s="1165" t="s">
        <v>715</v>
      </c>
      <c r="AD24" s="1165" t="s">
        <v>716</v>
      </c>
      <c r="AE24" s="1165" t="s">
        <v>717</v>
      </c>
      <c r="AF24" s="1165" t="s">
        <v>718</v>
      </c>
      <c r="AG24" s="1165"/>
      <c r="AH24" s="1165"/>
      <c r="AI24" s="1165"/>
      <c r="AJ24" s="1165"/>
      <c r="AK24" s="1165"/>
      <c r="AL24" s="1165"/>
      <c r="AM24" s="1165"/>
    </row>
    <row r="25" spans="1:39">
      <c r="A25">
        <v>3059.3346391373416</v>
      </c>
      <c r="B25">
        <v>2924.1596979531132</v>
      </c>
      <c r="C25">
        <v>2932.3632231968413</v>
      </c>
      <c r="D25">
        <v>2879.9952019169114</v>
      </c>
      <c r="E25">
        <v>2858.6272447351639</v>
      </c>
      <c r="F25">
        <v>2920.8297405099638</v>
      </c>
      <c r="G25">
        <v>2928.1443343838473</v>
      </c>
      <c r="H25">
        <v>2890.1333693466408</v>
      </c>
      <c r="I25">
        <v>2821.0479566029298</v>
      </c>
      <c r="J25">
        <v>2775.2852148630909</v>
      </c>
      <c r="K25">
        <v>2685.8587757939763</v>
      </c>
      <c r="L25">
        <v>2603.2926912275025</v>
      </c>
      <c r="M25">
        <v>2521.1797036237053</v>
      </c>
      <c r="N25">
        <v>2398.0790056335527</v>
      </c>
      <c r="O25">
        <v>2347.9385579053815</v>
      </c>
      <c r="P25">
        <v>2315.4755912103383</v>
      </c>
      <c r="Q25">
        <v>1826.6942326359929</v>
      </c>
      <c r="R25">
        <v>1286.7493575183148</v>
      </c>
      <c r="S25">
        <v>1016.8836637178146</v>
      </c>
      <c r="T25">
        <v>848.55288983959144</v>
      </c>
      <c r="U25">
        <v>680.22211596136879</v>
      </c>
      <c r="V25">
        <v>511.89134208314579</v>
      </c>
      <c r="W25">
        <v>423.67600286273699</v>
      </c>
      <c r="X25">
        <v>335.46066364232831</v>
      </c>
      <c r="Y25">
        <v>247.24532442191961</v>
      </c>
      <c r="Z25">
        <v>159.02998520151087</v>
      </c>
      <c r="AA25">
        <v>70.814645981102132</v>
      </c>
      <c r="AB25">
        <v>59.333532335605803</v>
      </c>
      <c r="AC25">
        <v>47.852418690109467</v>
      </c>
      <c r="AD25">
        <v>36.371305044613131</v>
      </c>
      <c r="AE25">
        <v>24.890191399116787</v>
      </c>
      <c r="AF25">
        <v>13.409077753620453</v>
      </c>
    </row>
    <row r="40" spans="1:5">
      <c r="A40" s="1165" t="s">
        <v>812</v>
      </c>
      <c r="B40" s="1165" t="s">
        <v>813</v>
      </c>
      <c r="C40" s="1165" t="s">
        <v>814</v>
      </c>
      <c r="D40" s="1165" t="s">
        <v>815</v>
      </c>
      <c r="E40" s="1165" t="s">
        <v>819</v>
      </c>
    </row>
    <row r="41" spans="1:5">
      <c r="A41">
        <v>-1</v>
      </c>
      <c r="B41">
        <v>-1</v>
      </c>
      <c r="C41">
        <v>-1</v>
      </c>
      <c r="D41">
        <v>1</v>
      </c>
      <c r="E41">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tabSelected="1" workbookViewId="0">
      <selection activeCell="AK17" sqref="AK17"/>
    </sheetView>
  </sheetViews>
  <sheetFormatPr defaultRowHeight="15"/>
  <cols>
    <col min="1" max="1" width="37.7109375" bestFit="1" customWidth="1"/>
  </cols>
  <sheetData>
    <row r="1" spans="1:45">
      <c r="A1" t="s">
        <v>671</v>
      </c>
      <c r="B1" s="1164">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16848.892176913963</v>
      </c>
      <c r="AR3">
        <v>16842.875377232984</v>
      </c>
      <c r="AS3" s="1694">
        <f ca="1">AQ3/AR3</f>
        <v>1.000357231146477</v>
      </c>
    </row>
    <row r="4" spans="1:45">
      <c r="H4">
        <v>3</v>
      </c>
      <c r="I4">
        <f>I3-I2+I3</f>
        <v>137</v>
      </c>
      <c r="J4" t="str">
        <f t="shared" si="0"/>
        <v>W4BCH4</v>
      </c>
      <c r="K4" t="s">
        <v>678</v>
      </c>
      <c r="L4" t="s">
        <v>188</v>
      </c>
      <c r="M4">
        <v>2</v>
      </c>
      <c r="N4">
        <v>2</v>
      </c>
      <c r="AM4" s="10" t="s">
        <v>674</v>
      </c>
      <c r="AN4" t="s">
        <v>679</v>
      </c>
      <c r="AO4" t="s">
        <v>190</v>
      </c>
      <c r="AP4">
        <v>1</v>
      </c>
      <c r="AQ4">
        <f ca="1">AP4*AA16</f>
        <v>16.595053922921537</v>
      </c>
    </row>
    <row r="5" spans="1:45">
      <c r="J5" t="str">
        <f t="shared" si="0"/>
        <v>W4C2CH4</v>
      </c>
      <c r="K5" t="s">
        <v>679</v>
      </c>
      <c r="L5" t="s">
        <v>188</v>
      </c>
      <c r="M5">
        <v>6</v>
      </c>
      <c r="N5">
        <v>1</v>
      </c>
      <c r="AM5" s="10" t="s">
        <v>673</v>
      </c>
      <c r="AN5" t="s">
        <v>677</v>
      </c>
      <c r="AO5" t="s">
        <v>188</v>
      </c>
      <c r="AP5">
        <v>21</v>
      </c>
      <c r="AQ5">
        <f t="shared" ref="AQ5:AQ11" ca="1" si="1">AP5*AA17</f>
        <v>10059.241211107601</v>
      </c>
    </row>
    <row r="6" spans="1:45">
      <c r="J6" t="str">
        <f t="shared" si="0"/>
        <v>W4D1CH4</v>
      </c>
      <c r="K6" t="s">
        <v>680</v>
      </c>
      <c r="L6" t="s">
        <v>188</v>
      </c>
      <c r="M6">
        <v>8</v>
      </c>
      <c r="N6">
        <v>1</v>
      </c>
      <c r="AM6" s="10" t="s">
        <v>676</v>
      </c>
      <c r="AN6" t="s">
        <v>678</v>
      </c>
      <c r="AO6" t="s">
        <v>188</v>
      </c>
      <c r="AP6">
        <v>21</v>
      </c>
      <c r="AQ6">
        <f t="shared" ca="1" si="1"/>
        <v>808.99261200573915</v>
      </c>
    </row>
    <row r="7" spans="1:45">
      <c r="J7" t="str">
        <f t="shared" si="0"/>
        <v>W4BN2O</v>
      </c>
      <c r="K7" t="s">
        <v>678</v>
      </c>
      <c r="L7" t="s">
        <v>191</v>
      </c>
      <c r="M7">
        <v>4</v>
      </c>
      <c r="N7">
        <v>1</v>
      </c>
      <c r="AM7" s="10" t="s">
        <v>674</v>
      </c>
      <c r="AN7" t="s">
        <v>679</v>
      </c>
      <c r="AO7" t="s">
        <v>188</v>
      </c>
      <c r="AP7">
        <v>21</v>
      </c>
      <c r="AQ7">
        <f t="shared" ca="1" si="1"/>
        <v>117.2582792073886</v>
      </c>
    </row>
    <row r="8" spans="1:45">
      <c r="J8" t="str">
        <f t="shared" si="0"/>
        <v>W4C2N2O</v>
      </c>
      <c r="K8" t="s">
        <v>679</v>
      </c>
      <c r="L8" t="s">
        <v>191</v>
      </c>
      <c r="M8">
        <v>7</v>
      </c>
      <c r="N8">
        <v>1</v>
      </c>
      <c r="AM8" s="10" t="s">
        <v>675</v>
      </c>
      <c r="AN8" t="s">
        <v>680</v>
      </c>
      <c r="AO8" t="s">
        <v>188</v>
      </c>
      <c r="AP8">
        <v>21</v>
      </c>
      <c r="AQ8">
        <f t="shared" ca="1" si="1"/>
        <v>4046.0638593590638</v>
      </c>
    </row>
    <row r="9" spans="1:45">
      <c r="J9" t="str">
        <f t="shared" si="0"/>
        <v>W4D1N2O</v>
      </c>
      <c r="K9" t="s">
        <v>680</v>
      </c>
      <c r="L9" t="s">
        <v>191</v>
      </c>
      <c r="M9">
        <v>9</v>
      </c>
      <c r="N9">
        <v>1</v>
      </c>
      <c r="AM9" s="10" t="s">
        <v>676</v>
      </c>
      <c r="AN9" t="s">
        <v>678</v>
      </c>
      <c r="AO9" t="s">
        <v>191</v>
      </c>
      <c r="AP9">
        <v>310</v>
      </c>
      <c r="AQ9">
        <f t="shared" ca="1" si="1"/>
        <v>700.95943711056293</v>
      </c>
    </row>
    <row r="10" spans="1:45">
      <c r="AM10" s="10" t="s">
        <v>674</v>
      </c>
      <c r="AN10" t="s">
        <v>679</v>
      </c>
      <c r="AO10" t="s">
        <v>191</v>
      </c>
      <c r="AP10">
        <v>310</v>
      </c>
      <c r="AQ10">
        <f t="shared" ca="1" si="1"/>
        <v>24.097822786905883</v>
      </c>
    </row>
    <row r="11" spans="1:45">
      <c r="AM11" s="10" t="s">
        <v>675</v>
      </c>
      <c r="AN11" t="s">
        <v>680</v>
      </c>
      <c r="AO11" t="s">
        <v>191</v>
      </c>
      <c r="AP11">
        <v>310</v>
      </c>
      <c r="AQ11">
        <f t="shared" ca="1" si="1"/>
        <v>1075.6839014137802</v>
      </c>
    </row>
    <row r="15" spans="1:45">
      <c r="B15" s="1165"/>
      <c r="C15" s="1165"/>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3">
        <f ca="1">SUM(OFFSET('Output data (results)'!$B$10,D$15-2000,INDEX($M$2:$M$9,MATCH($B16&amp;$C16,$J$2:$J$9,0)),1,INDEX($N$2:$N$9,MATCH($B16&amp;$C16,$J$2:$J$9,0))))</f>
        <v>32.155652457135474</v>
      </c>
      <c r="E16" s="1163">
        <f ca="1">SUM(OFFSET('Output data (results)'!$B$10,E$15-2000,INDEX($M$2:$M$9,MATCH($B16&amp;$C16,$J$2:$J$9,0)),1,INDEX($N$2:$N$9,MATCH($B16&amp;$C16,$J$2:$J$9,0))))</f>
        <v>32.638684941922989</v>
      </c>
      <c r="F16" s="1163">
        <f ca="1">SUM(OFFSET('Output data (results)'!$B$10,F$15-2000,INDEX($M$2:$M$9,MATCH($B16&amp;$C16,$J$2:$J$9,0)),1,INDEX($N$2:$N$9,MATCH($B16&amp;$C16,$J$2:$J$9,0))))</f>
        <v>33.044764937208711</v>
      </c>
      <c r="G16" s="1163">
        <f ca="1">SUM(OFFSET('Output data (results)'!$B$10,G$15-2000,INDEX($M$2:$M$9,MATCH($B16&amp;$C16,$J$2:$J$9,0)),1,INDEX($N$2:$N$9,MATCH($B16&amp;$C16,$J$2:$J$9,0))))</f>
        <v>33.370161666347876</v>
      </c>
      <c r="H16" s="1163">
        <f ca="1">SUM(OFFSET('Output data (results)'!$B$10,H$15-2000,INDEX($M$2:$M$9,MATCH($B16&amp;$C16,$J$2:$J$9,0)),1,INDEX($N$2:$N$9,MATCH($B16&amp;$C16,$J$2:$J$9,0))))</f>
        <v>33.610848152350449</v>
      </c>
      <c r="I16" s="1163">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3">
        <f ca="1">SUM(OFFSET('Output data (results)'!$B$10,D$15-2000,INDEX($M$2:$M$9,MATCH($B17&amp;$C17,$J$2:$J$9,0)),1,INDEX($N$2:$N$9,MATCH($B17&amp;$C17,$J$2:$J$9,0))))</f>
        <v>907.20403046494505</v>
      </c>
      <c r="E17" s="1163">
        <f ca="1">SUM(OFFSET('Output data (results)'!$B$10,E$15-2000,INDEX($M$2:$M$9,MATCH($B17&amp;$C17,$J$2:$J$9,0)),1,INDEX($N$2:$N$9,MATCH($B17&amp;$C17,$J$2:$J$9,0))))</f>
        <v>896.16711186314876</v>
      </c>
      <c r="F17" s="1163">
        <f ca="1">SUM(OFFSET('Output data (results)'!$B$10,F$15-2000,INDEX($M$2:$M$9,MATCH($B17&amp;$C17,$J$2:$J$9,0)),1,INDEX($N$2:$N$9,MATCH($B17&amp;$C17,$J$2:$J$9,0))))</f>
        <v>883.64256829584781</v>
      </c>
      <c r="G17" s="1163">
        <f ca="1">SUM(OFFSET('Output data (results)'!$B$10,G$15-2000,INDEX($M$2:$M$9,MATCH($B17&amp;$C17,$J$2:$J$9,0)),1,INDEX($N$2:$N$9,MATCH($B17&amp;$C17,$J$2:$J$9,0))))</f>
        <v>869.71305919348606</v>
      </c>
      <c r="H17" s="1163">
        <f ca="1">SUM(OFFSET('Output data (results)'!$B$10,H$15-2000,INDEX($M$2:$M$9,MATCH($B17&amp;$C17,$J$2:$J$9,0)),1,INDEX($N$2:$N$9,MATCH($B17&amp;$C17,$J$2:$J$9,0))))</f>
        <v>854.47623809287529</v>
      </c>
      <c r="I17" s="1163">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780.95200235252298</v>
      </c>
      <c r="M17" s="561">
        <f ca="1">SUM(OFFSET('Output data (results)'!$B$10,M$15-2000+INDEX($I$2:$I$4,MATCH($B$1,$H$2:$H$4,0)),INDEX($M$2:$M$9,MATCH($B17&amp;$C17,$J$2:$J$9,0)),1,INDEX($N$2:$N$9,MATCH($B17&amp;$C17,$J$2:$J$9,0))))</f>
        <v>760.20992910527036</v>
      </c>
      <c r="N17" s="561">
        <f ca="1">SUM(OFFSET('Output data (results)'!$B$10,N$15-2000+INDEX($I$2:$I$4,MATCH($B$1,$H$2:$H$4,0)),INDEX($M$2:$M$9,MATCH($B17&amp;$C17,$J$2:$J$9,0)),1,INDEX($N$2:$N$9,MATCH($B17&amp;$C17,$J$2:$J$9,0))))</f>
        <v>738.87368217332187</v>
      </c>
      <c r="O17" s="561">
        <f ca="1">SUM(OFFSET('Output data (results)'!$B$10,O$15-2000+INDEX($I$2:$I$4,MATCH($B$1,$H$2:$H$4,0)),INDEX($M$2:$M$9,MATCH($B17&amp;$C17,$J$2:$J$9,0)),1,INDEX($N$2:$N$9,MATCH($B17&amp;$C17,$J$2:$J$9,0))))</f>
        <v>717.36954706463439</v>
      </c>
      <c r="P17" s="561">
        <f ca="1">SUM(OFFSET('Output data (results)'!$B$10,P$15-2000+INDEX($I$2:$I$4,MATCH($B$1,$H$2:$H$4,0)),INDEX($M$2:$M$9,MATCH($B17&amp;$C17,$J$2:$J$9,0)),1,INDEX($N$2:$N$9,MATCH($B17&amp;$C17,$J$2:$J$9,0))))</f>
        <v>695.6849877374367</v>
      </c>
      <c r="Q17" s="561">
        <f ca="1">SUM(OFFSET('Output data (results)'!$B$10,Q$15-2000+INDEX($I$2:$I$4,MATCH($B$1,$H$2:$H$4,0)),INDEX($M$2:$M$9,MATCH($B17&amp;$C17,$J$2:$J$9,0)),1,INDEX($N$2:$N$9,MATCH($B17&amp;$C17,$J$2:$J$9,0))))</f>
        <v>673.61232751069451</v>
      </c>
      <c r="R17" s="561">
        <f ca="1">SUM(OFFSET('Output data (results)'!$B$10,R$15-2000+INDEX($I$2:$I$4,MATCH($B$1,$H$2:$H$4,0)),INDEX($M$2:$M$9,MATCH($B17&amp;$C17,$J$2:$J$9,0)),1,INDEX($N$2:$N$9,MATCH($B17&amp;$C17,$J$2:$J$9,0))))</f>
        <v>651.50867660488211</v>
      </c>
      <c r="S17" s="561">
        <f ca="1">SUM(OFFSET('Output data (results)'!$B$10,S$15-2000+INDEX($I$2:$I$4,MATCH($B$1,$H$2:$H$4,0)),INDEX($M$2:$M$9,MATCH($B17&amp;$C17,$J$2:$J$9,0)),1,INDEX($N$2:$N$9,MATCH($B17&amp;$C17,$J$2:$J$9,0))))</f>
        <v>629.89513025807139</v>
      </c>
      <c r="T17" s="561">
        <f ca="1">SUM(OFFSET('Output data (results)'!$B$10,T$15-2000+INDEX($I$2:$I$4,MATCH($B$1,$H$2:$H$4,0)),INDEX($M$2:$M$9,MATCH($B17&amp;$C17,$J$2:$J$9,0)),1,INDEX($N$2:$N$9,MATCH($B17&amp;$C17,$J$2:$J$9,0))))</f>
        <v>608.77109200824361</v>
      </c>
      <c r="U17" s="561">
        <f ca="1">SUM(OFFSET('Output data (results)'!$B$10,U$15-2000+INDEX($I$2:$I$4,MATCH($B$1,$H$2:$H$4,0)),INDEX($M$2:$M$9,MATCH($B17&amp;$C17,$J$2:$J$9,0)),1,INDEX($N$2:$N$9,MATCH($B17&amp;$C17,$J$2:$J$9,0))))</f>
        <v>588.34197920861959</v>
      </c>
      <c r="V17" s="561">
        <f ca="1">SUM(OFFSET('Output data (results)'!$B$10,V$15-2000+INDEX($I$2:$I$4,MATCH($B$1,$H$2:$H$4,0)),INDEX($M$2:$M$9,MATCH($B17&amp;$C17,$J$2:$J$9,0)),1,INDEX($N$2:$N$9,MATCH($B17&amp;$C17,$J$2:$J$9,0))))</f>
        <v>568.58548368183165</v>
      </c>
      <c r="W17" s="561">
        <f ca="1">SUM(OFFSET('Output data (results)'!$B$10,W$15-2000+INDEX($I$2:$I$4,MATCH($B$1,$H$2:$H$4,0)),INDEX($M$2:$M$9,MATCH($B17&amp;$C17,$J$2:$J$9,0)),1,INDEX($N$2:$N$9,MATCH($B17&amp;$C17,$J$2:$J$9,0))))</f>
        <v>549.48011264296349</v>
      </c>
      <c r="X17" s="561">
        <f ca="1">SUM(OFFSET('Output data (results)'!$B$10,X$15-2000+INDEX($I$2:$I$4,MATCH($B$1,$H$2:$H$4,0)),INDEX($M$2:$M$9,MATCH($B17&amp;$C17,$J$2:$J$9,0)),1,INDEX($N$2:$N$9,MATCH($B17&amp;$C17,$J$2:$J$9,0))))</f>
        <v>531.00720268621626</v>
      </c>
      <c r="Y17" s="561">
        <f ca="1">SUM(OFFSET('Output data (results)'!$B$10,Y$15-2000+INDEX($I$2:$I$4,MATCH($B$1,$H$2:$H$4,0)),INDEX($M$2:$M$9,MATCH($B17&amp;$C17,$J$2:$J$9,0)),1,INDEX($N$2:$N$9,MATCH($B17&amp;$C17,$J$2:$J$9,0))))</f>
        <v>513.12866112021754</v>
      </c>
      <c r="Z17" s="561">
        <f ca="1">SUM(OFFSET('Output data (results)'!$B$10,Z$15-2000+INDEX($I$2:$I$4,MATCH($B$1,$H$2:$H$4,0)),INDEX($M$2:$M$9,MATCH($B17&amp;$C17,$J$2:$J$9,0)),1,INDEX($N$2:$N$9,MATCH($B17&amp;$C17,$J$2:$J$9,0))))</f>
        <v>495.80824803164035</v>
      </c>
      <c r="AA17" s="561">
        <f ca="1">SUM(OFFSET('Output data (results)'!$B$10,AA$15-2000+INDEX($I$2:$I$4,MATCH($B$1,$H$2:$H$4,0)),INDEX($M$2:$M$9,MATCH($B17&amp;$C17,$J$2:$J$9,0)),1,INDEX($N$2:$N$9,MATCH($B17&amp;$C17,$J$2:$J$9,0))))</f>
        <v>479.01148624321905</v>
      </c>
      <c r="AB17" s="561">
        <f ca="1">SUM(OFFSET('Output data (results)'!$B$10,AB$15-2000+INDEX($I$2:$I$4,MATCH($B$1,$H$2:$H$4,0)),INDEX($M$2:$M$9,MATCH($B17&amp;$C17,$J$2:$J$9,0)),1,INDEX($N$2:$N$9,MATCH($B17&amp;$C17,$J$2:$J$9,0))))</f>
        <v>463.46049420350579</v>
      </c>
      <c r="AC17" s="561">
        <f ca="1">SUM(OFFSET('Output data (results)'!$B$10,AC$15-2000+INDEX($I$2:$I$4,MATCH($B$1,$H$2:$H$4,0)),INDEX($M$2:$M$9,MATCH($B17&amp;$C17,$J$2:$J$9,0)),1,INDEX($N$2:$N$9,MATCH($B17&amp;$C17,$J$2:$J$9,0))))</f>
        <v>449.95533208512865</v>
      </c>
      <c r="AD17" s="561">
        <f ca="1">SUM(OFFSET('Output data (results)'!$B$10,AD$15-2000+INDEX($I$2:$I$4,MATCH($B$1,$H$2:$H$4,0)),INDEX($M$2:$M$9,MATCH($B17&amp;$C17,$J$2:$J$9,0)),1,INDEX($N$2:$N$9,MATCH($B17&amp;$C17,$J$2:$J$9,0))))</f>
        <v>437.75367925420039</v>
      </c>
      <c r="AE17" s="561">
        <f ca="1">SUM(OFFSET('Output data (results)'!$B$10,AE$15-2000+INDEX($I$2:$I$4,MATCH($B$1,$H$2:$H$4,0)),INDEX($M$2:$M$9,MATCH($B17&amp;$C17,$J$2:$J$9,0)),1,INDEX($N$2:$N$9,MATCH($B17&amp;$C17,$J$2:$J$9,0))))</f>
        <v>426.32869348162097</v>
      </c>
      <c r="AF17" s="561">
        <f ca="1">SUM(OFFSET('Output data (results)'!$B$10,AF$15-2000+INDEX($I$2:$I$4,MATCH($B$1,$H$2:$H$4,0)),INDEX($M$2:$M$9,MATCH($B17&amp;$C17,$J$2:$J$9,0)),1,INDEX($N$2:$N$9,MATCH($B17&amp;$C17,$J$2:$J$9,0))))</f>
        <v>415.65172014279216</v>
      </c>
      <c r="AG17" s="561">
        <f ca="1">SUM(OFFSET('Output data (results)'!$B$10,AG$15-2000+INDEX($I$2:$I$4,MATCH($B$1,$H$2:$H$4,0)),INDEX($M$2:$M$9,MATCH($B17&amp;$C17,$J$2:$J$9,0)),1,INDEX($N$2:$N$9,MATCH($B17&amp;$C17,$J$2:$J$9,0))))</f>
        <v>405.69418544885218</v>
      </c>
      <c r="AH17" s="561">
        <f ca="1">SUM(OFFSET('Output data (results)'!$B$10,AH$15-2000+INDEX($I$2:$I$4,MATCH($B$1,$H$2:$H$4,0)),INDEX($M$2:$M$9,MATCH($B17&amp;$C17,$J$2:$J$9,0)),1,INDEX($N$2:$N$9,MATCH($B17&amp;$C17,$J$2:$J$9,0))))</f>
        <v>396.02227562085125</v>
      </c>
      <c r="AI17" s="561">
        <f ca="1">SUM(OFFSET('Output data (results)'!$B$10,AI$15-2000+INDEX($I$2:$I$4,MATCH($B$1,$H$2:$H$4,0)),INDEX($M$2:$M$9,MATCH($B17&amp;$C17,$J$2:$J$9,0)),1,INDEX($N$2:$N$9,MATCH($B17&amp;$C17,$J$2:$J$9,0))))</f>
        <v>386.63325742479043</v>
      </c>
      <c r="AJ17" s="561">
        <f ca="1">SUM(OFFSET('Output data (results)'!$B$10,AJ$15-2000+INDEX($I$2:$I$4,MATCH($B$1,$H$2:$H$4,0)),INDEX($M$2:$M$9,MATCH($B17&amp;$C17,$J$2:$J$9,0)),1,INDEX($N$2:$N$9,MATCH($B17&amp;$C17,$J$2:$J$9,0))))</f>
        <v>377.52556534052405</v>
      </c>
      <c r="AK17" s="561">
        <f ca="1">SUM(OFFSET('Output data (results)'!$B$10,AK$15-2000+INDEX($I$2:$I$4,MATCH($B$1,$H$2:$H$4,0)),INDEX($M$2:$M$9,MATCH($B17&amp;$C17,$J$2:$J$9,0)),1,INDEX($N$2:$N$9,MATCH($B17&amp;$C17,$J$2:$J$9,0))))</f>
        <v>368.69746412950616</v>
      </c>
      <c r="AL17" s="561">
        <f ca="1">SUM(OFFSET('Output data (results)'!$B$10,AL$15-2000+INDEX($I$2:$I$4,MATCH($B$1,$H$2:$H$4,0)),INDEX($M$2:$M$9,MATCH($B17&amp;$C17,$J$2:$J$9,0)),1,INDEX($N$2:$N$9,MATCH($B17&amp;$C17,$J$2:$J$9,0))))</f>
        <v>360.14680317228908</v>
      </c>
      <c r="AM17" s="561">
        <f ca="1">SUM(OFFSET('Output data (results)'!$B$10,AM$15-2000+INDEX($I$2:$I$4,MATCH($B$1,$H$2:$H$4,0)),INDEX($M$2:$M$9,MATCH($B17&amp;$C17,$J$2:$J$9,0)),1,INDEX($N$2:$N$9,MATCH($B17&amp;$C17,$J$2:$J$9,0))))</f>
        <v>351.58637842739836</v>
      </c>
      <c r="AN17" s="561">
        <f ca="1">SUM(OFFSET('Output data (results)'!$B$10,AN$15-2000+INDEX($I$2:$I$4,MATCH($B$1,$H$2:$H$4,0)),INDEX($M$2:$M$9,MATCH($B17&amp;$C17,$J$2:$J$9,0)),1,INDEX($N$2:$N$9,MATCH($B17&amp;$C17,$J$2:$J$9,0))))</f>
        <v>343.01533033866946</v>
      </c>
      <c r="AO17" s="561">
        <f ca="1">SUM(OFFSET('Output data (results)'!$B$10,AO$15-2000+INDEX($I$2:$I$4,MATCH($B$1,$H$2:$H$4,0)),INDEX($M$2:$M$9,MATCH($B17&amp;$C17,$J$2:$J$9,0)),1,INDEX($N$2:$N$9,MATCH($B17&amp;$C17,$J$2:$J$9,0))))</f>
        <v>334.72460444623249</v>
      </c>
      <c r="AP17" s="561">
        <f ca="1">SUM(OFFSET('Output data (results)'!$B$10,AP$15-2000+INDEX($I$2:$I$4,MATCH($B$1,$H$2:$H$4,0)),INDEX($M$2:$M$9,MATCH($B17&amp;$C17,$J$2:$J$9,0)),1,INDEX($N$2:$N$9,MATCH($B17&amp;$C17,$J$2:$J$9,0))))</f>
        <v>326.71070142159397</v>
      </c>
    </row>
    <row r="18" spans="1:42">
      <c r="A18" s="10" t="s">
        <v>676</v>
      </c>
      <c r="B18" t="s">
        <v>678</v>
      </c>
      <c r="C18" t="s">
        <v>188</v>
      </c>
      <c r="D18" s="1163">
        <f ca="1">SUM(OFFSET('Output data (results)'!$B$10,D$15-2000,INDEX($M$2:$M$9,MATCH($B18&amp;$C18,$J$2:$J$9,0)),1,INDEX($N$2:$N$9,MATCH($B18&amp;$C18,$J$2:$J$9,0))))</f>
        <v>13.700025909920411</v>
      </c>
      <c r="E18" s="1163">
        <f ca="1">SUM(OFFSET('Output data (results)'!$B$10,E$15-2000,INDEX($M$2:$M$9,MATCH($B18&amp;$C18,$J$2:$J$9,0)),1,INDEX($N$2:$N$9,MATCH($B18&amp;$C18,$J$2:$J$9,0))))</f>
        <v>14.982553884448116</v>
      </c>
      <c r="F18" s="1163">
        <f ca="1">SUM(OFFSET('Output data (results)'!$B$10,F$15-2000,INDEX($M$2:$M$9,MATCH($B18&amp;$C18,$J$2:$J$9,0)),1,INDEX($N$2:$N$9,MATCH($B18&amp;$C18,$J$2:$J$9,0))))</f>
        <v>16.152577730562747</v>
      </c>
      <c r="G18" s="1163">
        <f ca="1">SUM(OFFSET('Output data (results)'!$B$10,G$15-2000,INDEX($M$2:$M$9,MATCH($B18&amp;$C18,$J$2:$J$9,0)),1,INDEX($N$2:$N$9,MATCH($B18&amp;$C18,$J$2:$J$9,0))))</f>
        <v>17.222425195133638</v>
      </c>
      <c r="H18" s="1163">
        <f ca="1">SUM(OFFSET('Output data (results)'!$B$10,H$15-2000,INDEX($M$2:$M$9,MATCH($B18&amp;$C18,$J$2:$J$9,0)),1,INDEX($N$2:$N$9,MATCH($B18&amp;$C18,$J$2:$J$9,0))))</f>
        <v>18.188205756638162</v>
      </c>
      <c r="I18" s="1163">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24.575240697999366</v>
      </c>
      <c r="L18" s="561">
        <f ca="1">SUM(OFFSET('Output data (results)'!$B$10,L$15-2000+INDEX($I$2:$I$4,MATCH($B$1,$H$2:$H$4,0)),INDEX($M$2:$M$9,MATCH($B18&amp;$C18,$J$2:$J$9,0)),1,INDEX($N$2:$N$9,MATCH($B18&amp;$C18,$J$2:$J$9,0))))</f>
        <v>25.298879432805151</v>
      </c>
      <c r="M18" s="561">
        <f ca="1">SUM(OFFSET('Output data (results)'!$B$10,M$15-2000+INDEX($I$2:$I$4,MATCH($B$1,$H$2:$H$4,0)),INDEX($M$2:$M$9,MATCH($B18&amp;$C18,$J$2:$J$9,0)),1,INDEX($N$2:$N$9,MATCH($B18&amp;$C18,$J$2:$J$9,0))))</f>
        <v>26.836673358363797</v>
      </c>
      <c r="N18" s="561">
        <f ca="1">SUM(OFFSET('Output data (results)'!$B$10,N$15-2000+INDEX($I$2:$I$4,MATCH($B$1,$H$2:$H$4,0)),INDEX($M$2:$M$9,MATCH($B18&amp;$C18,$J$2:$J$9,0)),1,INDEX($N$2:$N$9,MATCH($B18&amp;$C18,$J$2:$J$9,0))))</f>
        <v>28.301941788671748</v>
      </c>
      <c r="O18" s="561">
        <f ca="1">SUM(OFFSET('Output data (results)'!$B$10,O$15-2000+INDEX($I$2:$I$4,MATCH($B$1,$H$2:$H$4,0)),INDEX($M$2:$M$9,MATCH($B18&amp;$C18,$J$2:$J$9,0)),1,INDEX($N$2:$N$9,MATCH($B18&amp;$C18,$J$2:$J$9,0))))</f>
        <v>29.90286709987349</v>
      </c>
      <c r="P18" s="561">
        <f ca="1">SUM(OFFSET('Output data (results)'!$B$10,P$15-2000+INDEX($I$2:$I$4,MATCH($B$1,$H$2:$H$4,0)),INDEX($M$2:$M$9,MATCH($B18&amp;$C18,$J$2:$J$9,0)),1,INDEX($N$2:$N$9,MATCH($B18&amp;$C18,$J$2:$J$9,0))))</f>
        <v>31.531599999960655</v>
      </c>
      <c r="Q18" s="561">
        <f ca="1">SUM(OFFSET('Output data (results)'!$B$10,Q$15-2000+INDEX($I$2:$I$4,MATCH($B$1,$H$2:$H$4,0)),INDEX($M$2:$M$9,MATCH($B18&amp;$C18,$J$2:$J$9,0)),1,INDEX($N$2:$N$9,MATCH($B18&amp;$C18,$J$2:$J$9,0))))</f>
        <v>33.149661331703058</v>
      </c>
      <c r="R18" s="561">
        <f ca="1">SUM(OFFSET('Output data (results)'!$B$10,R$15-2000+INDEX($I$2:$I$4,MATCH($B$1,$H$2:$H$4,0)),INDEX($M$2:$M$9,MATCH($B18&amp;$C18,$J$2:$J$9,0)),1,INDEX($N$2:$N$9,MATCH($B18&amp;$C18,$J$2:$J$9,0))))</f>
        <v>34.746228193297689</v>
      </c>
      <c r="S18" s="561">
        <f ca="1">SUM(OFFSET('Output data (results)'!$B$10,S$15-2000+INDEX($I$2:$I$4,MATCH($B$1,$H$2:$H$4,0)),INDEX($M$2:$M$9,MATCH($B18&amp;$C18,$J$2:$J$9,0)),1,INDEX($N$2:$N$9,MATCH($B18&amp;$C18,$J$2:$J$9,0))))</f>
        <v>36.336307251229613</v>
      </c>
      <c r="T18" s="561">
        <f ca="1">SUM(OFFSET('Output data (results)'!$B$10,T$15-2000+INDEX($I$2:$I$4,MATCH($B$1,$H$2:$H$4,0)),INDEX($M$2:$M$9,MATCH($B18&amp;$C18,$J$2:$J$9,0)),1,INDEX($N$2:$N$9,MATCH($B18&amp;$C18,$J$2:$J$9,0))))</f>
        <v>36.523100281337996</v>
      </c>
      <c r="U18" s="561">
        <f ca="1">SUM(OFFSET('Output data (results)'!$B$10,U$15-2000+INDEX($I$2:$I$4,MATCH($B$1,$H$2:$H$4,0)),INDEX($M$2:$M$9,MATCH($B18&amp;$C18,$J$2:$J$9,0)),1,INDEX($N$2:$N$9,MATCH($B18&amp;$C18,$J$2:$J$9,0))))</f>
        <v>36.755621615321139</v>
      </c>
      <c r="V18" s="561">
        <f ca="1">SUM(OFFSET('Output data (results)'!$B$10,V$15-2000+INDEX($I$2:$I$4,MATCH($B$1,$H$2:$H$4,0)),INDEX($M$2:$M$9,MATCH($B18&amp;$C18,$J$2:$J$9,0)),1,INDEX($N$2:$N$9,MATCH($B18&amp;$C18,$J$2:$J$9,0))))</f>
        <v>36.985856520679945</v>
      </c>
      <c r="W18" s="561">
        <f ca="1">SUM(OFFSET('Output data (results)'!$B$10,W$15-2000+INDEX($I$2:$I$4,MATCH($B$1,$H$2:$H$4,0)),INDEX($M$2:$M$9,MATCH($B18&amp;$C18,$J$2:$J$9,0)),1,INDEX($N$2:$N$9,MATCH($B18&amp;$C18,$J$2:$J$9,0))))</f>
        <v>37.237117935252854</v>
      </c>
      <c r="X18" s="561">
        <f ca="1">SUM(OFFSET('Output data (results)'!$B$10,X$15-2000+INDEX($I$2:$I$4,MATCH($B$1,$H$2:$H$4,0)),INDEX($M$2:$M$9,MATCH($B18&amp;$C18,$J$2:$J$9,0)),1,INDEX($N$2:$N$9,MATCH($B18&amp;$C18,$J$2:$J$9,0))))</f>
        <v>37.53249005258354</v>
      </c>
      <c r="Y18" s="561">
        <f ca="1">SUM(OFFSET('Output data (results)'!$B$10,Y$15-2000+INDEX($I$2:$I$4,MATCH($B$1,$H$2:$H$4,0)),INDEX($M$2:$M$9,MATCH($B18&amp;$C18,$J$2:$J$9,0)),1,INDEX($N$2:$N$9,MATCH($B18&amp;$C18,$J$2:$J$9,0))))</f>
        <v>37.851311165846752</v>
      </c>
      <c r="Z18" s="561">
        <f ca="1">SUM(OFFSET('Output data (results)'!$B$10,Z$15-2000+INDEX($I$2:$I$4,MATCH($B$1,$H$2:$H$4,0)),INDEX($M$2:$M$9,MATCH($B18&amp;$C18,$J$2:$J$9,0)),1,INDEX($N$2:$N$9,MATCH($B18&amp;$C18,$J$2:$J$9,0))))</f>
        <v>38.223392496243356</v>
      </c>
      <c r="AA18" s="561">
        <f ca="1">SUM(OFFSET('Output data (results)'!$B$10,AA$15-2000+INDEX($I$2:$I$4,MATCH($B$1,$H$2:$H$4,0)),INDEX($M$2:$M$9,MATCH($B18&amp;$C18,$J$2:$J$9,0)),1,INDEX($N$2:$N$9,MATCH($B18&amp;$C18,$J$2:$J$9,0))))</f>
        <v>38.523457714559008</v>
      </c>
      <c r="AB18" s="561">
        <f ca="1">SUM(OFFSET('Output data (results)'!$B$10,AB$15-2000+INDEX($I$2:$I$4,MATCH($B$1,$H$2:$H$4,0)),INDEX($M$2:$M$9,MATCH($B18&amp;$C18,$J$2:$J$9,0)),1,INDEX($N$2:$N$9,MATCH($B18&amp;$C18,$J$2:$J$9,0))))</f>
        <v>38.81401705982023</v>
      </c>
      <c r="AC18" s="561">
        <f ca="1">SUM(OFFSET('Output data (results)'!$B$10,AC$15-2000+INDEX($I$2:$I$4,MATCH($B$1,$H$2:$H$4,0)),INDEX($M$2:$M$9,MATCH($B18&amp;$C18,$J$2:$J$9,0)),1,INDEX($N$2:$N$9,MATCH($B18&amp;$C18,$J$2:$J$9,0))))</f>
        <v>39.138685031672644</v>
      </c>
      <c r="AD18" s="561">
        <f ca="1">SUM(OFFSET('Output data (results)'!$B$10,AD$15-2000+INDEX($I$2:$I$4,MATCH($B$1,$H$2:$H$4,0)),INDEX($M$2:$M$9,MATCH($B18&amp;$C18,$J$2:$J$9,0)),1,INDEX($N$2:$N$9,MATCH($B18&amp;$C18,$J$2:$J$9,0))))</f>
        <v>39.460946727138122</v>
      </c>
      <c r="AE18" s="561">
        <f ca="1">SUM(OFFSET('Output data (results)'!$B$10,AE$15-2000+INDEX($I$2:$I$4,MATCH($B$1,$H$2:$H$4,0)),INDEX($M$2:$M$9,MATCH($B18&amp;$C18,$J$2:$J$9,0)),1,INDEX($N$2:$N$9,MATCH($B18&amp;$C18,$J$2:$J$9,0))))</f>
        <v>39.79989777358329</v>
      </c>
      <c r="AF18" s="561">
        <f ca="1">SUM(OFFSET('Output data (results)'!$B$10,AF$15-2000+INDEX($I$2:$I$4,MATCH($B$1,$H$2:$H$4,0)),INDEX($M$2:$M$9,MATCH($B18&amp;$C18,$J$2:$J$9,0)),1,INDEX($N$2:$N$9,MATCH($B18&amp;$C18,$J$2:$J$9,0))))</f>
        <v>40.143139618609474</v>
      </c>
      <c r="AG18" s="561">
        <f ca="1">SUM(OFFSET('Output data (results)'!$B$10,AG$15-2000+INDEX($I$2:$I$4,MATCH($B$1,$H$2:$H$4,0)),INDEX($M$2:$M$9,MATCH($B18&amp;$C18,$J$2:$J$9,0)),1,INDEX($N$2:$N$9,MATCH($B18&amp;$C18,$J$2:$J$9,0))))</f>
        <v>40.5207400041512</v>
      </c>
      <c r="AH18" s="561">
        <f ca="1">SUM(OFFSET('Output data (results)'!$B$10,AH$15-2000+INDEX($I$2:$I$4,MATCH($B$1,$H$2:$H$4,0)),INDEX($M$2:$M$9,MATCH($B18&amp;$C18,$J$2:$J$9,0)),1,INDEX($N$2:$N$9,MATCH($B18&amp;$C18,$J$2:$J$9,0))))</f>
        <v>40.88742274707905</v>
      </c>
      <c r="AI18" s="561">
        <f ca="1">SUM(OFFSET('Output data (results)'!$B$10,AI$15-2000+INDEX($I$2:$I$4,MATCH($B$1,$H$2:$H$4,0)),INDEX($M$2:$M$9,MATCH($B18&amp;$C18,$J$2:$J$9,0)),1,INDEX($N$2:$N$9,MATCH($B18&amp;$C18,$J$2:$J$9,0))))</f>
        <v>41.262147549337044</v>
      </c>
      <c r="AJ18" s="561">
        <f ca="1">SUM(OFFSET('Output data (results)'!$B$10,AJ$15-2000+INDEX($I$2:$I$4,MATCH($B$1,$H$2:$H$4,0)),INDEX($M$2:$M$9,MATCH($B18&amp;$C18,$J$2:$J$9,0)),1,INDEX($N$2:$N$9,MATCH($B18&amp;$C18,$J$2:$J$9,0))))</f>
        <v>41.650017498842793</v>
      </c>
      <c r="AK18" s="561">
        <f ca="1">SUM(OFFSET('Output data (results)'!$B$10,AK$15-2000+INDEX($I$2:$I$4,MATCH($B$1,$H$2:$H$4,0)),INDEX($M$2:$M$9,MATCH($B18&amp;$C18,$J$2:$J$9,0)),1,INDEX($N$2:$N$9,MATCH($B18&amp;$C18,$J$2:$J$9,0))))</f>
        <v>42.053131695748448</v>
      </c>
      <c r="AL18" s="561">
        <f ca="1">SUM(OFFSET('Output data (results)'!$B$10,AL$15-2000+INDEX($I$2:$I$4,MATCH($B$1,$H$2:$H$4,0)),INDEX($M$2:$M$9,MATCH($B18&amp;$C18,$J$2:$J$9,0)),1,INDEX($N$2:$N$9,MATCH($B18&amp;$C18,$J$2:$J$9,0))))</f>
        <v>42.501356168897118</v>
      </c>
      <c r="AM18" s="561">
        <f ca="1">SUM(OFFSET('Output data (results)'!$B$10,AM$15-2000+INDEX($I$2:$I$4,MATCH($B$1,$H$2:$H$4,0)),INDEX($M$2:$M$9,MATCH($B18&amp;$C18,$J$2:$J$9,0)),1,INDEX($N$2:$N$9,MATCH($B18&amp;$C18,$J$2:$J$9,0))))</f>
        <v>42.823125325892981</v>
      </c>
      <c r="AN18" s="561">
        <f ca="1">SUM(OFFSET('Output data (results)'!$B$10,AN$15-2000+INDEX($I$2:$I$4,MATCH($B$1,$H$2:$H$4,0)),INDEX($M$2:$M$9,MATCH($B18&amp;$C18,$J$2:$J$9,0)),1,INDEX($N$2:$N$9,MATCH($B18&amp;$C18,$J$2:$J$9,0))))</f>
        <v>43.156368236140018</v>
      </c>
      <c r="AO18" s="561">
        <f ca="1">SUM(OFFSET('Output data (results)'!$B$10,AO$15-2000+INDEX($I$2:$I$4,MATCH($B$1,$H$2:$H$4,0)),INDEX($M$2:$M$9,MATCH($B18&amp;$C18,$J$2:$J$9,0)),1,INDEX($N$2:$N$9,MATCH($B18&amp;$C18,$J$2:$J$9,0))))</f>
        <v>43.47979388996346</v>
      </c>
      <c r="AP18" s="561">
        <f ca="1">SUM(OFFSET('Output data (results)'!$B$10,AP$15-2000+INDEX($I$2:$I$4,MATCH($B$1,$H$2:$H$4,0)),INDEX($M$2:$M$9,MATCH($B18&amp;$C18,$J$2:$J$9,0)),1,INDEX($N$2:$N$9,MATCH($B18&amp;$C18,$J$2:$J$9,0))))</f>
        <v>43.80516363345658</v>
      </c>
    </row>
    <row r="19" spans="1:42">
      <c r="A19" s="10" t="s">
        <v>674</v>
      </c>
      <c r="B19" t="s">
        <v>679</v>
      </c>
      <c r="C19" t="s">
        <v>188</v>
      </c>
      <c r="D19" s="1163">
        <f ca="1">SUM(OFFSET('Output data (results)'!$B$10,D$15-2000,INDEX($M$2:$M$9,MATCH($B19&amp;$C19,$J$2:$J$9,0)),1,INDEX($N$2:$N$9,MATCH($B19&amp;$C19,$J$2:$J$9,0))))</f>
        <v>10.819392594545473</v>
      </c>
      <c r="E19" s="1163">
        <f ca="1">SUM(OFFSET('Output data (results)'!$B$10,E$15-2000,INDEX($M$2:$M$9,MATCH($B19&amp;$C19,$J$2:$J$9,0)),1,INDEX($N$2:$N$9,MATCH($B19&amp;$C19,$J$2:$J$9,0))))</f>
        <v>10.981918237456981</v>
      </c>
      <c r="F19" s="1163">
        <f ca="1">SUM(OFFSET('Output data (results)'!$B$10,F$15-2000,INDEX($M$2:$M$9,MATCH($B19&amp;$C19,$J$2:$J$9,0)),1,INDEX($N$2:$N$9,MATCH($B19&amp;$C19,$J$2:$J$9,0))))</f>
        <v>11.118551723580275</v>
      </c>
      <c r="G19" s="1163">
        <f ca="1">SUM(OFFSET('Output data (results)'!$B$10,G$15-2000,INDEX($M$2:$M$9,MATCH($B19&amp;$C19,$J$2:$J$9,0)),1,INDEX($N$2:$N$9,MATCH($B19&amp;$C19,$J$2:$J$9,0))))</f>
        <v>11.228037760793502</v>
      </c>
      <c r="H19" s="1163">
        <f ca="1">SUM(OFFSET('Output data (results)'!$B$10,H$15-2000,INDEX($M$2:$M$9,MATCH($B19&amp;$C19,$J$2:$J$9,0)),1,INDEX($N$2:$N$9,MATCH($B19&amp;$C19,$J$2:$J$9,0))))</f>
        <v>11.309021394626923</v>
      </c>
      <c r="I19" s="1163">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3">
        <f ca="1">SUM(OFFSET('Output data (results)'!$B$10,D$15-2000,INDEX($M$2:$M$9,MATCH($B20&amp;$C20,$J$2:$J$9,0)),1,INDEX($N$2:$N$9,MATCH($B20&amp;$C20,$J$2:$J$9,0))))</f>
        <v>121.42022721713889</v>
      </c>
      <c r="E20" s="1163">
        <f ca="1">SUM(OFFSET('Output data (results)'!$B$10,E$15-2000,INDEX($M$2:$M$9,MATCH($B20&amp;$C20,$J$2:$J$9,0)),1,INDEX($N$2:$N$9,MATCH($B20&amp;$C20,$J$2:$J$9,0))))</f>
        <v>123.22777500074881</v>
      </c>
      <c r="F20" s="1163">
        <f ca="1">SUM(OFFSET('Output data (results)'!$B$10,F$15-2000,INDEX($M$2:$M$9,MATCH($B20&amp;$C20,$J$2:$J$9,0)),1,INDEX($N$2:$N$9,MATCH($B20&amp;$C20,$J$2:$J$9,0))))</f>
        <v>125.10267629930888</v>
      </c>
      <c r="G20" s="1163">
        <f ca="1">SUM(OFFSET('Output data (results)'!$B$10,G$15-2000,INDEX($M$2:$M$9,MATCH($B20&amp;$C20,$J$2:$J$9,0)),1,INDEX($N$2:$N$9,MATCH($B20&amp;$C20,$J$2:$J$9,0))))</f>
        <v>127.04753208598689</v>
      </c>
      <c r="H20" s="1163">
        <f ca="1">SUM(OFFSET('Output data (results)'!$B$10,H$15-2000,INDEX($M$2:$M$9,MATCH($B20&amp;$C20,$J$2:$J$9,0)),1,INDEX($N$2:$N$9,MATCH($B20&amp;$C20,$J$2:$J$9,0))))</f>
        <v>129.06507290384971</v>
      </c>
      <c r="I20" s="1163">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3">
        <f ca="1">SUM(OFFSET('Output data (results)'!$B$10,D$15-2000,INDEX($M$2:$M$9,MATCH($B21&amp;$C21,$J$2:$J$9,0)),1,INDEX($N$2:$N$9,MATCH($B21&amp;$C21,$J$2:$J$9,0))))</f>
        <v>0.80950612728087734</v>
      </c>
      <c r="E21" s="1163">
        <f ca="1">SUM(OFFSET('Output data (results)'!$B$10,E$15-2000,INDEX($M$2:$M$9,MATCH($B21&amp;$C21,$J$2:$J$9,0)),1,INDEX($N$2:$N$9,MATCH($B21&amp;$C21,$J$2:$J$9,0))))</f>
        <v>0.88555342828472039</v>
      </c>
      <c r="F21" s="1163">
        <f ca="1">SUM(OFFSET('Output data (results)'!$B$10,F$15-2000,INDEX($M$2:$M$9,MATCH($B21&amp;$C21,$J$2:$J$9,0)),1,INDEX($N$2:$N$9,MATCH($B21&amp;$C21,$J$2:$J$9,0))))</f>
        <v>0.95495152833656827</v>
      </c>
      <c r="G21" s="1163">
        <f ca="1">SUM(OFFSET('Output data (results)'!$B$10,G$15-2000,INDEX($M$2:$M$9,MATCH($B21&amp;$C21,$J$2:$J$9,0)),1,INDEX($N$2:$N$9,MATCH($B21&amp;$C21,$J$2:$J$9,0))))</f>
        <v>1.01842205283452</v>
      </c>
      <c r="H21" s="1163">
        <f ca="1">SUM(OFFSET('Output data (results)'!$B$10,H$15-2000,INDEX($M$2:$M$9,MATCH($B21&amp;$C21,$J$2:$J$9,0)),1,INDEX($N$2:$N$9,MATCH($B21&amp;$C21,$J$2:$J$9,0))))</f>
        <v>1.0757345093651158</v>
      </c>
      <c r="I21" s="1163">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1.4487376668485463</v>
      </c>
      <c r="L21" s="561">
        <f ca="1">SUM(OFFSET('Output data (results)'!$B$10,L$15-2000+INDEX($I$2:$I$4,MATCH($B$1,$H$2:$H$4,0)),INDEX($M$2:$M$9,MATCH($B21&amp;$C21,$J$2:$J$9,0)),1,INDEX($N$2:$N$9,MATCH($B21&amp;$C21,$J$2:$J$9,0))))</f>
        <v>1.4894360230243748</v>
      </c>
      <c r="M21" s="561">
        <f ca="1">SUM(OFFSET('Output data (results)'!$B$10,M$15-2000+INDEX($I$2:$I$4,MATCH($B$1,$H$2:$H$4,0)),INDEX($M$2:$M$9,MATCH($B21&amp;$C21,$J$2:$J$9,0)),1,INDEX($N$2:$N$9,MATCH($B21&amp;$C21,$J$2:$J$9,0))))</f>
        <v>1.5776052114779271</v>
      </c>
      <c r="N21" s="561">
        <f ca="1">SUM(OFFSET('Output data (results)'!$B$10,N$15-2000+INDEX($I$2:$I$4,MATCH($B$1,$H$2:$H$4,0)),INDEX($M$2:$M$9,MATCH($B21&amp;$C21,$J$2:$J$9,0)),1,INDEX($N$2:$N$9,MATCH($B21&amp;$C21,$J$2:$J$9,0))))</f>
        <v>1.6612009310742113</v>
      </c>
      <c r="O21" s="561">
        <f ca="1">SUM(OFFSET('Output data (results)'!$B$10,O$15-2000+INDEX($I$2:$I$4,MATCH($B$1,$H$2:$H$4,0)),INDEX($M$2:$M$9,MATCH($B21&amp;$C21,$J$2:$J$9,0)),1,INDEX($N$2:$N$9,MATCH($B21&amp;$C21,$J$2:$J$9,0))))</f>
        <v>1.755168286296922</v>
      </c>
      <c r="P21" s="561">
        <f ca="1">SUM(OFFSET('Output data (results)'!$B$10,P$15-2000+INDEX($I$2:$I$4,MATCH($B$1,$H$2:$H$4,0)),INDEX($M$2:$M$9,MATCH($B21&amp;$C21,$J$2:$J$9,0)),1,INDEX($N$2:$N$9,MATCH($B21&amp;$C21,$J$2:$J$9,0))))</f>
        <v>1.850767826084647</v>
      </c>
      <c r="Q21" s="561">
        <f ca="1">SUM(OFFSET('Output data (results)'!$B$10,Q$15-2000+INDEX($I$2:$I$4,MATCH($B$1,$H$2:$H$4,0)),INDEX($M$2:$M$9,MATCH($B21&amp;$C21,$J$2:$J$9,0)),1,INDEX($N$2:$N$9,MATCH($B21&amp;$C21,$J$2:$J$9,0))))</f>
        <v>1.9457409912086576</v>
      </c>
      <c r="R21" s="561">
        <f ca="1">SUM(OFFSET('Output data (results)'!$B$10,R$15-2000+INDEX($I$2:$I$4,MATCH($B$1,$H$2:$H$4,0)),INDEX($M$2:$M$9,MATCH($B21&amp;$C21,$J$2:$J$9,0)),1,INDEX($N$2:$N$9,MATCH($B21&amp;$C21,$J$2:$J$9,0))))</f>
        <v>2.0394525243892119</v>
      </c>
      <c r="S21" s="561">
        <f ca="1">SUM(OFFSET('Output data (results)'!$B$10,S$15-2000+INDEX($I$2:$I$4,MATCH($B$1,$H$2:$H$4,0)),INDEX($M$2:$M$9,MATCH($B21&amp;$C21,$J$2:$J$9,0)),1,INDEX($N$2:$N$9,MATCH($B21&amp;$C21,$J$2:$J$9,0))))</f>
        <v>2.132783251702608</v>
      </c>
      <c r="T21" s="561">
        <f ca="1">SUM(OFFSET('Output data (results)'!$B$10,T$15-2000+INDEX($I$2:$I$4,MATCH($B$1,$H$2:$H$4,0)),INDEX($M$2:$M$9,MATCH($B21&amp;$C21,$J$2:$J$9,0)),1,INDEX($N$2:$N$9,MATCH($B21&amp;$C21,$J$2:$J$9,0))))</f>
        <v>2.1437471904263607</v>
      </c>
      <c r="U21" s="561">
        <f ca="1">SUM(OFFSET('Output data (results)'!$B$10,U$15-2000+INDEX($I$2:$I$4,MATCH($B$1,$H$2:$H$4,0)),INDEX($M$2:$M$9,MATCH($B21&amp;$C21,$J$2:$J$9,0)),1,INDEX($N$2:$N$9,MATCH($B21&amp;$C21,$J$2:$J$9,0))))</f>
        <v>2.1573951817688495</v>
      </c>
      <c r="V21" s="561">
        <f ca="1">SUM(OFFSET('Output data (results)'!$B$10,V$15-2000+INDEX($I$2:$I$4,MATCH($B$1,$H$2:$H$4,0)),INDEX($M$2:$M$9,MATCH($B21&amp;$C21,$J$2:$J$9,0)),1,INDEX($N$2:$N$9,MATCH($B21&amp;$C21,$J$2:$J$9,0))))</f>
        <v>2.1709089696920838</v>
      </c>
      <c r="W21" s="561">
        <f ca="1">SUM(OFFSET('Output data (results)'!$B$10,W$15-2000+INDEX($I$2:$I$4,MATCH($B$1,$H$2:$H$4,0)),INDEX($M$2:$M$9,MATCH($B21&amp;$C21,$J$2:$J$9,0)),1,INDEX($N$2:$N$9,MATCH($B21&amp;$C21,$J$2:$J$9,0))))</f>
        <v>2.1856569222865807</v>
      </c>
      <c r="X21" s="561">
        <f ca="1">SUM(OFFSET('Output data (results)'!$B$10,X$15-2000+INDEX($I$2:$I$4,MATCH($B$1,$H$2:$H$4,0)),INDEX($M$2:$M$9,MATCH($B21&amp;$C21,$J$2:$J$9,0)),1,INDEX($N$2:$N$9,MATCH($B21&amp;$C21,$J$2:$J$9,0))))</f>
        <v>2.2029939813472943</v>
      </c>
      <c r="Y21" s="561">
        <f ca="1">SUM(OFFSET('Output data (results)'!$B$10,Y$15-2000+INDEX($I$2:$I$4,MATCH($B$1,$H$2:$H$4,0)),INDEX($M$2:$M$9,MATCH($B21&amp;$C21,$J$2:$J$9,0)),1,INDEX($N$2:$N$9,MATCH($B21&amp;$C21,$J$2:$J$9,0))))</f>
        <v>2.2217073945170922</v>
      </c>
      <c r="Z21" s="561">
        <f ca="1">SUM(OFFSET('Output data (results)'!$B$10,Z$15-2000+INDEX($I$2:$I$4,MATCH($B$1,$H$2:$H$4,0)),INDEX($M$2:$M$9,MATCH($B21&amp;$C21,$J$2:$J$9,0)),1,INDEX($N$2:$N$9,MATCH($B21&amp;$C21,$J$2:$J$9,0))))</f>
        <v>2.2435469508664578</v>
      </c>
      <c r="AA21" s="561">
        <f ca="1">SUM(OFFSET('Output data (results)'!$B$10,AA$15-2000+INDEX($I$2:$I$4,MATCH($B$1,$H$2:$H$4,0)),INDEX($M$2:$M$9,MATCH($B21&amp;$C21,$J$2:$J$9,0)),1,INDEX($N$2:$N$9,MATCH($B21&amp;$C21,$J$2:$J$9,0))))</f>
        <v>2.2611594745502028</v>
      </c>
      <c r="AB21" s="561">
        <f ca="1">SUM(OFFSET('Output data (results)'!$B$10,AB$15-2000+INDEX($I$2:$I$4,MATCH($B$1,$H$2:$H$4,0)),INDEX($M$2:$M$9,MATCH($B21&amp;$C21,$J$2:$J$9,0)),1,INDEX($N$2:$N$9,MATCH($B21&amp;$C21,$J$2:$J$9,0))))</f>
        <v>2.278214044815535</v>
      </c>
      <c r="AC21" s="561">
        <f ca="1">SUM(OFFSET('Output data (results)'!$B$10,AC$15-2000+INDEX($I$2:$I$4,MATCH($B$1,$H$2:$H$4,0)),INDEX($M$2:$M$9,MATCH($B21&amp;$C21,$J$2:$J$9,0)),1,INDEX($N$2:$N$9,MATCH($B21&amp;$C21,$J$2:$J$9,0))))</f>
        <v>2.2972706431633942</v>
      </c>
      <c r="AD21" s="561">
        <f ca="1">SUM(OFFSET('Output data (results)'!$B$10,AD$15-2000+INDEX($I$2:$I$4,MATCH($B$1,$H$2:$H$4,0)),INDEX($M$2:$M$9,MATCH($B21&amp;$C21,$J$2:$J$9,0)),1,INDEX($N$2:$N$9,MATCH($B21&amp;$C21,$J$2:$J$9,0))))</f>
        <v>2.3161860035494115</v>
      </c>
      <c r="AE21" s="561">
        <f ca="1">SUM(OFFSET('Output data (results)'!$B$10,AE$15-2000+INDEX($I$2:$I$4,MATCH($B$1,$H$2:$H$4,0)),INDEX($M$2:$M$9,MATCH($B21&amp;$C21,$J$2:$J$9,0)),1,INDEX($N$2:$N$9,MATCH($B21&amp;$C21,$J$2:$J$9,0))))</f>
        <v>2.3360809562755409</v>
      </c>
      <c r="AF21" s="561">
        <f ca="1">SUM(OFFSET('Output data (results)'!$B$10,AF$15-2000+INDEX($I$2:$I$4,MATCH($B$1,$H$2:$H$4,0)),INDEX($M$2:$M$9,MATCH($B21&amp;$C21,$J$2:$J$9,0)),1,INDEX($N$2:$N$9,MATCH($B21&amp;$C21,$J$2:$J$9,0))))</f>
        <v>2.3562277602227302</v>
      </c>
      <c r="AG21" s="561">
        <f ca="1">SUM(OFFSET('Output data (results)'!$B$10,AG$15-2000+INDEX($I$2:$I$4,MATCH($B$1,$H$2:$H$4,0)),INDEX($M$2:$M$9,MATCH($B21&amp;$C21,$J$2:$J$9,0)),1,INDEX($N$2:$N$9,MATCH($B21&amp;$C21,$J$2:$J$9,0))))</f>
        <v>2.3783912611132227</v>
      </c>
      <c r="AH21" s="561">
        <f ca="1">SUM(OFFSET('Output data (results)'!$B$10,AH$15-2000+INDEX($I$2:$I$4,MATCH($B$1,$H$2:$H$4,0)),INDEX($M$2:$M$9,MATCH($B21&amp;$C21,$J$2:$J$9,0)),1,INDEX($N$2:$N$9,MATCH($B21&amp;$C21,$J$2:$J$9,0))))</f>
        <v>2.3999139438502919</v>
      </c>
      <c r="AI21" s="561">
        <f ca="1">SUM(OFFSET('Output data (results)'!$B$10,AI$15-2000+INDEX($I$2:$I$4,MATCH($B$1,$H$2:$H$4,0)),INDEX($M$2:$M$9,MATCH($B21&amp;$C21,$J$2:$J$9,0)),1,INDEX($N$2:$N$9,MATCH($B21&amp;$C21,$J$2:$J$9,0))))</f>
        <v>2.4219086605045654</v>
      </c>
      <c r="AJ21" s="561">
        <f ca="1">SUM(OFFSET('Output data (results)'!$B$10,AJ$15-2000+INDEX($I$2:$I$4,MATCH($B$1,$H$2:$H$4,0)),INDEX($M$2:$M$9,MATCH($B21&amp;$C21,$J$2:$J$9,0)),1,INDEX($N$2:$N$9,MATCH($B21&amp;$C21,$J$2:$J$9,0))))</f>
        <v>2.4446749401494681</v>
      </c>
      <c r="AK21" s="561">
        <f ca="1">SUM(OFFSET('Output data (results)'!$B$10,AK$15-2000+INDEX($I$2:$I$4,MATCH($B$1,$H$2:$H$4,0)),INDEX($M$2:$M$9,MATCH($B21&amp;$C21,$J$2:$J$9,0)),1,INDEX($N$2:$N$9,MATCH($B21&amp;$C21,$J$2:$J$9,0))))</f>
        <v>2.4683359908374092</v>
      </c>
      <c r="AL21" s="561">
        <f ca="1">SUM(OFFSET('Output data (results)'!$B$10,AL$15-2000+INDEX($I$2:$I$4,MATCH($B$1,$H$2:$H$4,0)),INDEX($M$2:$M$9,MATCH($B21&amp;$C21,$J$2:$J$9,0)),1,INDEX($N$2:$N$9,MATCH($B21&amp;$C21,$J$2:$J$9,0))))</f>
        <v>2.4946448186091787</v>
      </c>
      <c r="AM21" s="561">
        <f ca="1">SUM(OFFSET('Output data (results)'!$B$10,AM$15-2000+INDEX($I$2:$I$4,MATCH($B$1,$H$2:$H$4,0)),INDEX($M$2:$M$9,MATCH($B21&amp;$C21,$J$2:$J$9,0)),1,INDEX($N$2:$N$9,MATCH($B21&amp;$C21,$J$2:$J$9,0))))</f>
        <v>2.5135312691285012</v>
      </c>
      <c r="AN21" s="561">
        <f ca="1">SUM(OFFSET('Output data (results)'!$B$10,AN$15-2000+INDEX($I$2:$I$4,MATCH($B$1,$H$2:$H$4,0)),INDEX($M$2:$M$9,MATCH($B21&amp;$C21,$J$2:$J$9,0)),1,INDEX($N$2:$N$9,MATCH($B21&amp;$C21,$J$2:$J$9,0))))</f>
        <v>2.5330911790777839</v>
      </c>
      <c r="AO21" s="561">
        <f ca="1">SUM(OFFSET('Output data (results)'!$B$10,AO$15-2000+INDEX($I$2:$I$4,MATCH($B$1,$H$2:$H$4,0)),INDEX($M$2:$M$9,MATCH($B21&amp;$C21,$J$2:$J$9,0)),1,INDEX($N$2:$N$9,MATCH($B21&amp;$C21,$J$2:$J$9,0))))</f>
        <v>2.5520748587587252</v>
      </c>
      <c r="AP21" s="561">
        <f ca="1">SUM(OFFSET('Output data (results)'!$B$10,AP$15-2000+INDEX($I$2:$I$4,MATCH($B$1,$H$2:$H$4,0)),INDEX($M$2:$M$9,MATCH($B21&amp;$C21,$J$2:$J$9,0)),1,INDEX($N$2:$N$9,MATCH($B21&amp;$C21,$J$2:$J$9,0))))</f>
        <v>2.5711726480507124</v>
      </c>
    </row>
    <row r="22" spans="1:42">
      <c r="A22" s="10" t="s">
        <v>674</v>
      </c>
      <c r="B22" t="s">
        <v>679</v>
      </c>
      <c r="C22" t="s">
        <v>191</v>
      </c>
      <c r="D22" s="1163">
        <f ca="1">SUM(OFFSET('Output data (results)'!$B$10,D$15-2000,INDEX($M$2:$M$9,MATCH($B22&amp;$C22,$J$2:$J$9,0)),1,INDEX($N$2:$N$9,MATCH($B22&amp;$C22,$J$2:$J$9,0))))</f>
        <v>0.15062420601993221</v>
      </c>
      <c r="E22" s="1163">
        <f ca="1">SUM(OFFSET('Output data (results)'!$B$10,E$15-2000,INDEX($M$2:$M$9,MATCH($B22&amp;$C22,$J$2:$J$9,0)),1,INDEX($N$2:$N$9,MATCH($B22&amp;$C22,$J$2:$J$9,0))))</f>
        <v>0.15288683728203895</v>
      </c>
      <c r="F22" s="1163">
        <f ca="1">SUM(OFFSET('Output data (results)'!$B$10,F$15-2000,INDEX($M$2:$M$9,MATCH($B22&amp;$C22,$J$2:$J$9,0)),1,INDEX($N$2:$N$9,MATCH($B22&amp;$C22,$J$2:$J$9,0))))</f>
        <v>0.15478900602055312</v>
      </c>
      <c r="G22" s="1163">
        <f ca="1">SUM(OFFSET('Output data (results)'!$B$10,G$15-2000,INDEX($M$2:$M$9,MATCH($B22&amp;$C22,$J$2:$J$9,0)),1,INDEX($N$2:$N$9,MATCH($B22&amp;$C22,$J$2:$J$9,0))))</f>
        <v>0.15631323645044112</v>
      </c>
      <c r="H22" s="1163">
        <f ca="1">SUM(OFFSET('Output data (results)'!$B$10,H$15-2000,INDEX($M$2:$M$9,MATCH($B22&amp;$C22,$J$2:$J$9,0)),1,INDEX($N$2:$N$9,MATCH($B22&amp;$C22,$J$2:$J$9,0))))</f>
        <v>0.15744066531857534</v>
      </c>
      <c r="I22" s="1163">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3">
        <f ca="1">SUM(OFFSET('Output data (results)'!$B$10,D$15-2000,INDEX($M$2:$M$9,MATCH($B23&amp;$C23,$J$2:$J$9,0)),1,INDEX($N$2:$N$9,MATCH($B23&amp;$C23,$J$2:$J$9,0))))</f>
        <v>2.6383207851384207</v>
      </c>
      <c r="E23" s="1163">
        <f ca="1">SUM(OFFSET('Output data (results)'!$B$10,E$15-2000,INDEX($M$2:$M$9,MATCH($B23&amp;$C23,$J$2:$J$9,0)),1,INDEX($N$2:$N$9,MATCH($B23&amp;$C23,$J$2:$J$9,0))))</f>
        <v>2.6775967031376564</v>
      </c>
      <c r="F23" s="1163">
        <f ca="1">SUM(OFFSET('Output data (results)'!$B$10,F$15-2000,INDEX($M$2:$M$9,MATCH($B23&amp;$C23,$J$2:$J$9,0)),1,INDEX($N$2:$N$9,MATCH($B23&amp;$C23,$J$2:$J$9,0))))</f>
        <v>2.718336134939475</v>
      </c>
      <c r="G23" s="1163">
        <f ca="1">SUM(OFFSET('Output data (results)'!$B$10,G$15-2000,INDEX($M$2:$M$9,MATCH($B23&amp;$C23,$J$2:$J$9,0)),1,INDEX($N$2:$N$9,MATCH($B23&amp;$C23,$J$2:$J$9,0))))</f>
        <v>2.7605955966757243</v>
      </c>
      <c r="H23" s="1163">
        <f ca="1">SUM(OFFSET('Output data (results)'!$B$10,H$15-2000,INDEX($M$2:$M$9,MATCH($B23&amp;$C23,$J$2:$J$9,0)),1,INDEX($N$2:$N$9,MATCH($B23&amp;$C23,$J$2:$J$9,0))))</f>
        <v>2.804434419881956</v>
      </c>
      <c r="I23" s="1163">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A91" zoomScale="56" zoomScaleNormal="60" workbookViewId="0">
      <selection activeCell="B112" sqref="B112:B11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29">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69" t="s">
        <v>221</v>
      </c>
      <c r="D12" s="1169" t="s">
        <v>85</v>
      </c>
      <c r="E12" s="1169" t="s">
        <v>87</v>
      </c>
      <c r="F12" s="1169" t="s">
        <v>222</v>
      </c>
      <c r="G12" s="1169" t="s">
        <v>115</v>
      </c>
      <c r="H12" s="1169" t="s">
        <v>223</v>
      </c>
      <c r="I12" s="1169" t="s">
        <v>472</v>
      </c>
      <c r="J12" s="1169" t="s">
        <v>329</v>
      </c>
      <c r="K12" s="1169" t="s">
        <v>330</v>
      </c>
      <c r="L12" s="1169" t="s">
        <v>331</v>
      </c>
      <c r="M12" s="1169" t="s">
        <v>332</v>
      </c>
      <c r="N12" s="1168" t="s">
        <v>225</v>
      </c>
    </row>
    <row r="13" spans="1:14">
      <c r="A13" s="425"/>
      <c r="B13" s="320" t="s">
        <v>333</v>
      </c>
      <c r="C13" s="1275">
        <v>1233791.4119790548</v>
      </c>
      <c r="D13" s="1275">
        <v>1138884.3802883581</v>
      </c>
      <c r="E13" s="1275">
        <v>378326.54427023319</v>
      </c>
      <c r="F13" s="1275">
        <v>0</v>
      </c>
      <c r="G13" s="1275">
        <v>0</v>
      </c>
      <c r="H13" s="1275">
        <v>0</v>
      </c>
      <c r="I13" s="1275"/>
      <c r="J13" s="1275">
        <v>381000</v>
      </c>
      <c r="K13" s="1275">
        <v>338388.97868490184</v>
      </c>
      <c r="L13" s="1275">
        <v>297470.77450579114</v>
      </c>
      <c r="M13" s="1275">
        <v>0</v>
      </c>
      <c r="N13" s="1276">
        <f t="shared" ref="N13:N21" si="0">SUM(C13:M13)</f>
        <v>3767862.0897283391</v>
      </c>
    </row>
    <row r="14" spans="1:14">
      <c r="A14" s="426" t="s">
        <v>334</v>
      </c>
      <c r="B14" s="320" t="s">
        <v>335</v>
      </c>
      <c r="C14" s="1275">
        <v>964286</v>
      </c>
      <c r="D14" s="1275">
        <v>964286</v>
      </c>
      <c r="E14" s="1275">
        <v>0</v>
      </c>
      <c r="F14" s="1275">
        <v>0</v>
      </c>
      <c r="G14" s="1275">
        <v>0</v>
      </c>
      <c r="H14" s="1275">
        <v>0</v>
      </c>
      <c r="I14" s="1275">
        <v>2892858</v>
      </c>
      <c r="J14" s="1275">
        <v>0</v>
      </c>
      <c r="K14" s="1275">
        <v>0</v>
      </c>
      <c r="L14" s="1275">
        <v>0</v>
      </c>
      <c r="M14" s="1275">
        <v>0</v>
      </c>
      <c r="N14" s="1276">
        <f t="shared" si="0"/>
        <v>4821430</v>
      </c>
    </row>
    <row r="15" spans="1:14">
      <c r="A15" s="426" t="s">
        <v>336</v>
      </c>
      <c r="B15" s="320" t="s">
        <v>337</v>
      </c>
      <c r="C15" s="1275">
        <v>72176.800000000003</v>
      </c>
      <c r="D15" s="1275">
        <v>72176.800000000003</v>
      </c>
      <c r="E15" s="1275">
        <v>0</v>
      </c>
      <c r="F15" s="1275">
        <v>0</v>
      </c>
      <c r="G15" s="1275">
        <v>0</v>
      </c>
      <c r="H15" s="1275">
        <v>0</v>
      </c>
      <c r="I15" s="1275">
        <v>216530.4</v>
      </c>
      <c r="J15" s="1275">
        <v>0</v>
      </c>
      <c r="K15" s="1275">
        <v>0</v>
      </c>
      <c r="L15" s="1275">
        <v>0</v>
      </c>
      <c r="M15" s="1275">
        <v>0</v>
      </c>
      <c r="N15" s="1276">
        <f t="shared" si="0"/>
        <v>360884</v>
      </c>
    </row>
    <row r="16" spans="1:14">
      <c r="A16" s="426" t="s">
        <v>338</v>
      </c>
      <c r="B16" s="320" t="s">
        <v>339</v>
      </c>
      <c r="C16" s="1275">
        <v>0</v>
      </c>
      <c r="D16" s="1275">
        <v>0</v>
      </c>
      <c r="E16" s="1275">
        <v>520349.97572976683</v>
      </c>
      <c r="F16" s="1275">
        <v>0</v>
      </c>
      <c r="G16" s="1275">
        <v>0</v>
      </c>
      <c r="H16" s="1275">
        <v>0</v>
      </c>
      <c r="I16" s="1275">
        <v>0</v>
      </c>
      <c r="J16" s="1275">
        <v>237880.00199999998</v>
      </c>
      <c r="K16" s="1275">
        <v>465419.88531509798</v>
      </c>
      <c r="L16" s="1275">
        <v>409141.02549420868</v>
      </c>
      <c r="M16" s="1275">
        <v>123895.58799999999</v>
      </c>
      <c r="N16" s="1276">
        <f t="shared" si="0"/>
        <v>1756686.4765390735</v>
      </c>
    </row>
    <row r="17" spans="1:16">
      <c r="A17" s="426" t="s">
        <v>338</v>
      </c>
      <c r="B17" s="320" t="s">
        <v>340</v>
      </c>
      <c r="C17" s="1275">
        <v>0</v>
      </c>
      <c r="D17" s="1275">
        <v>0</v>
      </c>
      <c r="E17" s="1275">
        <v>1241029.48</v>
      </c>
      <c r="F17" s="1275">
        <v>0</v>
      </c>
      <c r="G17" s="1275">
        <v>0</v>
      </c>
      <c r="H17" s="1275">
        <v>0</v>
      </c>
      <c r="I17" s="1275">
        <v>0</v>
      </c>
      <c r="J17" s="1275">
        <v>480373.99800000002</v>
      </c>
      <c r="K17" s="1275">
        <v>1987194.1360000002</v>
      </c>
      <c r="L17" s="1275">
        <v>2826447.2</v>
      </c>
      <c r="M17" s="1275">
        <v>38271.412000000004</v>
      </c>
      <c r="N17" s="1276">
        <f t="shared" si="0"/>
        <v>6573316.2259999998</v>
      </c>
    </row>
    <row r="18" spans="1:16">
      <c r="A18" s="426" t="s">
        <v>341</v>
      </c>
      <c r="B18" s="320" t="s">
        <v>342</v>
      </c>
      <c r="C18" s="1275">
        <v>2500000</v>
      </c>
      <c r="D18" s="1275">
        <v>4200000</v>
      </c>
      <c r="E18" s="1275">
        <v>0</v>
      </c>
      <c r="F18" s="1275">
        <v>0</v>
      </c>
      <c r="G18" s="1275">
        <v>0</v>
      </c>
      <c r="H18" s="1275">
        <v>0</v>
      </c>
      <c r="I18" s="1275">
        <v>0</v>
      </c>
      <c r="J18" s="1275">
        <v>0</v>
      </c>
      <c r="K18" s="1275">
        <v>0</v>
      </c>
      <c r="L18" s="1275">
        <v>0</v>
      </c>
      <c r="M18" s="1275">
        <v>0</v>
      </c>
      <c r="N18" s="1276">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737</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7"/>
      <c r="B31" s="430" t="s">
        <v>738</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78">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0"/>
      <c r="B33" s="1717" t="s">
        <v>485</v>
      </c>
      <c r="C33" s="1718"/>
      <c r="D33" s="1718"/>
      <c r="E33" s="1718"/>
      <c r="F33" s="1719"/>
      <c r="G33" s="1717" t="s">
        <v>532</v>
      </c>
      <c r="H33" s="1718"/>
      <c r="I33" s="1719"/>
      <c r="J33" s="417"/>
      <c r="L33" s="417"/>
      <c r="M33" s="417"/>
      <c r="N33" s="332"/>
      <c r="O33" s="332"/>
      <c r="P33" s="332"/>
    </row>
    <row r="34" spans="1:29" ht="16.5" thickBot="1">
      <c r="A34" s="1721"/>
      <c r="B34" s="1177" t="s">
        <v>473</v>
      </c>
      <c r="C34" s="1178" t="s">
        <v>778</v>
      </c>
      <c r="D34" s="1178" t="s">
        <v>377</v>
      </c>
      <c r="E34" s="1178" t="s">
        <v>477</v>
      </c>
      <c r="F34" s="1179" t="s">
        <v>303</v>
      </c>
      <c r="G34" s="1177" t="s">
        <v>493</v>
      </c>
      <c r="H34" s="1178" t="s">
        <v>494</v>
      </c>
      <c r="I34" s="1179" t="s">
        <v>303</v>
      </c>
      <c r="J34" s="184"/>
      <c r="K34" s="184"/>
      <c r="L34" s="184"/>
    </row>
    <row r="35" spans="1:29">
      <c r="A35" s="1440" t="s">
        <v>267</v>
      </c>
      <c r="B35" s="1181">
        <f>(0.5*'Waste Summary 2017 SASOW'!M6+0.9*('Waste Summary 2017 SASOW'!L6+'Waste Summary 2017 SASOW'!N6))/'Waste Summary 2017 SASOW'!J6</f>
        <v>0.46471844811027063</v>
      </c>
      <c r="C35" s="1181">
        <f>'Waste Summary 2017 SASOW'!O22</f>
        <v>0.41381327103365251</v>
      </c>
      <c r="D35" s="1181">
        <f>(0.5*'Waste Summary 2017 SASOW'!M6+('Waste Summary 2017 SASOW'!L6+'Waste Summary 2017 SASOW'!N6)*0.1)/'Waste Summary 2017 SASOW'!J6</f>
        <v>0.12146828085607692</v>
      </c>
      <c r="E35" s="1182">
        <v>0</v>
      </c>
      <c r="F35" s="647">
        <f>SUM(B35:E35)</f>
        <v>1</v>
      </c>
      <c r="G35" s="708">
        <f>N17/(N17+N18*0.5)</f>
        <v>0.66241124199764068</v>
      </c>
      <c r="H35" s="647">
        <f>(N18*0.5)/(N18*0.5+N17)</f>
        <v>0.33758875800235938</v>
      </c>
      <c r="I35" s="715">
        <f>SUM(G35:H35)</f>
        <v>1</v>
      </c>
      <c r="J35" s="1635">
        <f>H35*C35</f>
        <v>0.13969870821314448</v>
      </c>
      <c r="K35" s="417"/>
      <c r="L35" s="184"/>
    </row>
    <row r="36" spans="1:29">
      <c r="A36" s="1441" t="s">
        <v>751</v>
      </c>
      <c r="B36" s="436">
        <f>'Waste Summary 2017 SASOW'!L20+'Waste Summary 2017 SASOW'!M20+'Waste Summary 2017 SASOW'!N20</f>
        <v>0.7821504466492184</v>
      </c>
      <c r="C36" s="436">
        <f>'Waste Summary 2017 SASOW'!O20</f>
        <v>8.8860692477895534E-2</v>
      </c>
      <c r="D36" s="436">
        <v>0</v>
      </c>
      <c r="E36" s="1180">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3"/>
      <c r="K36" s="184"/>
      <c r="L36" s="184"/>
      <c r="O36" s="332"/>
      <c r="P36" s="332"/>
    </row>
    <row r="37" spans="1:29">
      <c r="A37" s="1441" t="s">
        <v>752</v>
      </c>
      <c r="B37" s="436">
        <f>'Waste Summary 2017 SASOW'!L24+'Waste Summary 2017 SASOW'!M24+'Waste Summary 2017 SASOW'!N24</f>
        <v>0.57380711973947707</v>
      </c>
      <c r="C37" s="436">
        <f>'Waste Summary 2017 SASOW'!O24</f>
        <v>0.12526763815896438</v>
      </c>
      <c r="D37" s="436">
        <f>0</f>
        <v>0</v>
      </c>
      <c r="E37" s="1180">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2" t="s">
        <v>746</v>
      </c>
      <c r="B38" s="417">
        <v>0.8</v>
      </c>
      <c r="C38" s="417">
        <v>0.11</v>
      </c>
      <c r="D38" s="417">
        <v>0.09</v>
      </c>
      <c r="E38" s="417">
        <v>0</v>
      </c>
      <c r="F38" s="417">
        <f>SUM(B38:E38)</f>
        <v>1</v>
      </c>
      <c r="G38" s="649">
        <v>1</v>
      </c>
      <c r="H38" s="417">
        <v>0</v>
      </c>
      <c r="I38" s="525">
        <f t="shared" si="14"/>
        <v>1</v>
      </c>
      <c r="J38" s="184"/>
      <c r="K38" s="184"/>
      <c r="L38" s="184"/>
    </row>
    <row r="39" spans="1:29" ht="16.5" thickBot="1">
      <c r="A39" s="1443" t="s">
        <v>750</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2" t="s">
        <v>615</v>
      </c>
      <c r="B41" s="1723"/>
      <c r="C41" s="1724"/>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4" t="s">
        <v>527</v>
      </c>
      <c r="C47" s="1715"/>
      <c r="D47" s="1715"/>
      <c r="E47" s="1716"/>
      <c r="F47" s="1110" t="s">
        <v>529</v>
      </c>
      <c r="G47" s="1110"/>
      <c r="H47" s="1110"/>
      <c r="I47" s="1704" t="s">
        <v>631</v>
      </c>
      <c r="J47" s="1704"/>
      <c r="K47" s="1704"/>
      <c r="L47" s="1704"/>
      <c r="M47" s="1705"/>
      <c r="N47" s="1703" t="s">
        <v>530</v>
      </c>
      <c r="O47" s="1704"/>
      <c r="P47" s="1704"/>
      <c r="Q47" s="1704"/>
      <c r="R47" s="1704"/>
      <c r="S47" s="1704"/>
      <c r="T47" s="1704"/>
      <c r="U47" s="1704"/>
      <c r="V47" s="1704"/>
      <c r="W47" s="1704"/>
      <c r="X47" s="1704"/>
      <c r="Y47" s="1704"/>
      <c r="Z47" s="1704"/>
      <c r="AA47" s="1704"/>
      <c r="AB47" s="1704"/>
      <c r="AC47" s="1705"/>
    </row>
    <row r="48" spans="1:29" ht="94.5">
      <c r="A48" s="1712" t="s">
        <v>217</v>
      </c>
      <c r="B48" s="1106" t="s">
        <v>218</v>
      </c>
      <c r="C48" s="1106" t="s">
        <v>390</v>
      </c>
      <c r="D48" s="563" t="s">
        <v>629</v>
      </c>
      <c r="E48" s="469" t="s">
        <v>630</v>
      </c>
      <c r="F48" s="1111" t="s">
        <v>501</v>
      </c>
      <c r="G48" s="563" t="s">
        <v>504</v>
      </c>
      <c r="H48" s="469" t="s">
        <v>528</v>
      </c>
      <c r="I48" s="1167" t="s">
        <v>478</v>
      </c>
      <c r="J48" s="444" t="s">
        <v>475</v>
      </c>
      <c r="K48" s="444" t="s">
        <v>288</v>
      </c>
      <c r="L48" s="451" t="s">
        <v>740</v>
      </c>
      <c r="M48" s="451" t="s">
        <v>741</v>
      </c>
      <c r="N48" s="1706" t="s">
        <v>481</v>
      </c>
      <c r="O48" s="1707"/>
      <c r="P48" s="1707"/>
      <c r="Q48" s="1707"/>
      <c r="R48" s="1707"/>
      <c r="S48" s="1707"/>
      <c r="T48" s="1707"/>
      <c r="U48" s="1708"/>
      <c r="V48" s="1709" t="s">
        <v>739</v>
      </c>
      <c r="W48" s="1710"/>
      <c r="X48" s="1710"/>
      <c r="Y48" s="1710"/>
      <c r="Z48" s="1710"/>
      <c r="AA48" s="1710"/>
      <c r="AB48" s="1710"/>
      <c r="AC48" s="1711"/>
    </row>
    <row r="49" spans="1:29" ht="39" customHeight="1" thickBot="1">
      <c r="A49" s="1713"/>
      <c r="B49" s="458" t="s">
        <v>232</v>
      </c>
      <c r="C49" s="459" t="s">
        <v>482</v>
      </c>
      <c r="D49" s="459" t="s">
        <v>480</v>
      </c>
      <c r="E49" s="477" t="s">
        <v>480</v>
      </c>
      <c r="F49" s="1112" t="s">
        <v>229</v>
      </c>
      <c r="G49" s="459" t="s">
        <v>229</v>
      </c>
      <c r="H49" s="477" t="s">
        <v>228</v>
      </c>
      <c r="I49" s="562" t="s">
        <v>227</v>
      </c>
      <c r="J49" s="446" t="s">
        <v>393</v>
      </c>
      <c r="K49" s="446" t="s">
        <v>228</v>
      </c>
      <c r="L49" s="1287" t="s">
        <v>228</v>
      </c>
      <c r="M49" s="447" t="s">
        <v>228</v>
      </c>
      <c r="N49" s="416" t="s">
        <v>221</v>
      </c>
      <c r="O49" s="185" t="s">
        <v>85</v>
      </c>
      <c r="P49" s="185" t="s">
        <v>87</v>
      </c>
      <c r="Q49" s="185" t="s">
        <v>222</v>
      </c>
      <c r="R49" s="185" t="s">
        <v>115</v>
      </c>
      <c r="S49" s="185" t="s">
        <v>223</v>
      </c>
      <c r="T49" s="185" t="s">
        <v>224</v>
      </c>
      <c r="U49" s="188" t="s">
        <v>225</v>
      </c>
      <c r="V49" s="1279" t="s">
        <v>221</v>
      </c>
      <c r="W49" s="1280" t="s">
        <v>85</v>
      </c>
      <c r="X49" s="1280" t="s">
        <v>87</v>
      </c>
      <c r="Y49" s="1280" t="s">
        <v>222</v>
      </c>
      <c r="Z49" s="1280" t="s">
        <v>115</v>
      </c>
      <c r="AA49" s="1280" t="s">
        <v>223</v>
      </c>
      <c r="AB49" s="1280" t="s">
        <v>224</v>
      </c>
      <c r="AC49" s="1281" t="s">
        <v>225</v>
      </c>
    </row>
    <row r="50" spans="1:29">
      <c r="A50" s="760">
        <f>year</f>
        <v>1950</v>
      </c>
      <c r="B50" s="1654">
        <v>5.3541578999999997</v>
      </c>
      <c r="C50" s="761"/>
      <c r="D50" s="1575">
        <v>0</v>
      </c>
      <c r="E50" s="1576">
        <v>0</v>
      </c>
      <c r="F50" s="186">
        <f>C43</f>
        <v>0.71479999999999999</v>
      </c>
      <c r="G50" s="186">
        <f>C42</f>
        <v>0.28959999999999997</v>
      </c>
      <c r="H50" s="478">
        <v>0</v>
      </c>
      <c r="I50" s="1288">
        <f>$C$3</f>
        <v>578.73</v>
      </c>
      <c r="J50" s="1289">
        <f>'Waste Summary 2017 SASOW'!B34</f>
        <v>28.06789123869763</v>
      </c>
      <c r="K50" s="1290">
        <f t="shared" ref="K50:K110" si="15">B50*I50</f>
        <v>3098.6118014670001</v>
      </c>
      <c r="L50" s="1290">
        <f>C50*J50*1000/1000</f>
        <v>0</v>
      </c>
      <c r="M50" s="1291">
        <f t="shared" ref="M50:M113" si="16">C50*J50*1000/1000</f>
        <v>0</v>
      </c>
      <c r="N50" s="1249">
        <f t="shared" ref="N50:S50" si="17">C29</f>
        <v>0.19892488097366726</v>
      </c>
      <c r="O50" s="1249">
        <f t="shared" si="17"/>
        <v>0.26585903447659598</v>
      </c>
      <c r="P50" s="1249">
        <f t="shared" si="17"/>
        <v>8.9228108703258049E-2</v>
      </c>
      <c r="Q50" s="1249">
        <f t="shared" si="17"/>
        <v>0</v>
      </c>
      <c r="R50" s="1249">
        <f t="shared" si="17"/>
        <v>0</v>
      </c>
      <c r="S50" s="1249">
        <f t="shared" si="17"/>
        <v>0</v>
      </c>
      <c r="T50" s="1249">
        <f>SUM(I29:M29)</f>
        <v>0.4459879758464787</v>
      </c>
      <c r="U50" s="1282">
        <f t="shared" ref="U50:U81" si="18">SUM(N50:T50)</f>
        <v>1</v>
      </c>
      <c r="V50" s="1283">
        <f>C31</f>
        <v>0.29028184578274857</v>
      </c>
      <c r="W50" s="1249">
        <f>D31</f>
        <v>0.30317187715157518</v>
      </c>
      <c r="X50" s="1249">
        <f>E31</f>
        <v>8.2805443243048754E-2</v>
      </c>
      <c r="Y50" s="1249">
        <f t="shared" ref="Y50:AA50" si="19">F31</f>
        <v>0</v>
      </c>
      <c r="Z50" s="1249">
        <f t="shared" si="19"/>
        <v>0</v>
      </c>
      <c r="AA50" s="1249">
        <f t="shared" si="19"/>
        <v>0</v>
      </c>
      <c r="AB50" s="1249">
        <f>SUM(I31:M31)</f>
        <v>0.32374083382262742</v>
      </c>
      <c r="AC50" s="1282">
        <f>SUM(V50:AB50)</f>
        <v>0.99999999999999989</v>
      </c>
    </row>
    <row r="51" spans="1:29">
      <c r="A51" s="187">
        <f t="shared" ref="A51:A82" si="20">A50+1</f>
        <v>1951</v>
      </c>
      <c r="B51" s="1655">
        <v>5.53942844</v>
      </c>
      <c r="C51" s="409"/>
      <c r="D51" s="1577">
        <v>0</v>
      </c>
      <c r="E51" s="1578">
        <v>0</v>
      </c>
      <c r="F51" s="186">
        <f>F50</f>
        <v>0.71479999999999999</v>
      </c>
      <c r="G51" s="186">
        <f>G50</f>
        <v>0.28959999999999997</v>
      </c>
      <c r="H51" s="478">
        <v>0</v>
      </c>
      <c r="I51" s="1292">
        <f t="shared" ref="I51:I109" si="21">$C$3</f>
        <v>578.73</v>
      </c>
      <c r="J51" s="1293">
        <f t="shared" ref="J51:J114" si="22">J50</f>
        <v>28.06789123869763</v>
      </c>
      <c r="K51" s="1294">
        <f t="shared" si="15"/>
        <v>3205.8334210812</v>
      </c>
      <c r="L51" s="1294">
        <f t="shared" ref="L51:L99" si="23">C51*J51*1000/1000</f>
        <v>0</v>
      </c>
      <c r="M51" s="1295">
        <f t="shared" si="16"/>
        <v>0</v>
      </c>
      <c r="N51" s="1249">
        <f t="shared" ref="N51:T66" si="24">N50</f>
        <v>0.19892488097366726</v>
      </c>
      <c r="O51" s="1249">
        <f t="shared" si="24"/>
        <v>0.26585903447659598</v>
      </c>
      <c r="P51" s="1249">
        <f t="shared" si="24"/>
        <v>8.9228108703258049E-2</v>
      </c>
      <c r="Q51" s="1249">
        <f t="shared" si="24"/>
        <v>0</v>
      </c>
      <c r="R51" s="1249">
        <f t="shared" si="24"/>
        <v>0</v>
      </c>
      <c r="S51" s="1249">
        <f t="shared" si="24"/>
        <v>0</v>
      </c>
      <c r="T51" s="1249">
        <f t="shared" si="24"/>
        <v>0.4459879758464787</v>
      </c>
      <c r="U51" s="1282">
        <f t="shared" si="18"/>
        <v>1</v>
      </c>
      <c r="V51" s="1283">
        <f>V50</f>
        <v>0.29028184578274857</v>
      </c>
      <c r="W51" s="1249">
        <f t="shared" ref="W51:AB66" si="25">W50</f>
        <v>0.30317187715157518</v>
      </c>
      <c r="X51" s="1249">
        <f t="shared" si="25"/>
        <v>8.2805443243048754E-2</v>
      </c>
      <c r="Y51" s="1249">
        <f t="shared" si="25"/>
        <v>0</v>
      </c>
      <c r="Z51" s="1249">
        <f t="shared" si="25"/>
        <v>0</v>
      </c>
      <c r="AA51" s="1249">
        <f t="shared" si="25"/>
        <v>0</v>
      </c>
      <c r="AB51" s="1249">
        <f t="shared" si="25"/>
        <v>0.32374083382262742</v>
      </c>
      <c r="AC51" s="1282">
        <f t="shared" ref="AC51:AC114" si="26">SUM(V51:AB51)</f>
        <v>0.99999999999999989</v>
      </c>
    </row>
    <row r="52" spans="1:29">
      <c r="A52" s="187">
        <f t="shared" si="20"/>
        <v>1952</v>
      </c>
      <c r="B52" s="1655">
        <v>5.7129272200000001</v>
      </c>
      <c r="C52" s="409"/>
      <c r="D52" s="1577">
        <v>0</v>
      </c>
      <c r="E52" s="1578">
        <v>0</v>
      </c>
      <c r="F52" s="186">
        <f t="shared" ref="F52:F115" si="27">F51</f>
        <v>0.71479999999999999</v>
      </c>
      <c r="G52" s="186">
        <f t="shared" ref="G52:G115" si="28">G51</f>
        <v>0.28959999999999997</v>
      </c>
      <c r="H52" s="478">
        <v>0</v>
      </c>
      <c r="I52" s="1292">
        <f t="shared" si="21"/>
        <v>578.73</v>
      </c>
      <c r="J52" s="1293">
        <f t="shared" si="22"/>
        <v>28.06789123869763</v>
      </c>
      <c r="K52" s="1294">
        <f t="shared" si="15"/>
        <v>3306.2423700306003</v>
      </c>
      <c r="L52" s="1294">
        <f t="shared" si="23"/>
        <v>0</v>
      </c>
      <c r="M52" s="1295">
        <f t="shared" si="16"/>
        <v>0</v>
      </c>
      <c r="N52" s="1249">
        <f t="shared" si="24"/>
        <v>0.19892488097366726</v>
      </c>
      <c r="O52" s="1249">
        <f t="shared" si="24"/>
        <v>0.26585903447659598</v>
      </c>
      <c r="P52" s="1249">
        <f t="shared" si="24"/>
        <v>8.9228108703258049E-2</v>
      </c>
      <c r="Q52" s="1249">
        <f t="shared" si="24"/>
        <v>0</v>
      </c>
      <c r="R52" s="1249">
        <f t="shared" si="24"/>
        <v>0</v>
      </c>
      <c r="S52" s="1249">
        <f t="shared" si="24"/>
        <v>0</v>
      </c>
      <c r="T52" s="1249">
        <f t="shared" si="24"/>
        <v>0.4459879758464787</v>
      </c>
      <c r="U52" s="1282">
        <f t="shared" si="18"/>
        <v>1</v>
      </c>
      <c r="V52" s="1283">
        <f t="shared" ref="V52:AB67" si="29">V51</f>
        <v>0.29028184578274857</v>
      </c>
      <c r="W52" s="1249">
        <f t="shared" si="25"/>
        <v>0.30317187715157518</v>
      </c>
      <c r="X52" s="1249">
        <f t="shared" si="25"/>
        <v>8.2805443243048754E-2</v>
      </c>
      <c r="Y52" s="1249">
        <f t="shared" si="25"/>
        <v>0</v>
      </c>
      <c r="Z52" s="1249">
        <f t="shared" si="25"/>
        <v>0</v>
      </c>
      <c r="AA52" s="1249">
        <f t="shared" si="25"/>
        <v>0</v>
      </c>
      <c r="AB52" s="1249">
        <f t="shared" si="25"/>
        <v>0.32374083382262742</v>
      </c>
      <c r="AC52" s="1282">
        <f t="shared" si="26"/>
        <v>0.99999999999999989</v>
      </c>
    </row>
    <row r="53" spans="1:29">
      <c r="A53" s="187">
        <f t="shared" si="20"/>
        <v>1953</v>
      </c>
      <c r="B53" s="1655">
        <v>5.9284297800000001</v>
      </c>
      <c r="C53" s="409"/>
      <c r="D53" s="1577">
        <v>0</v>
      </c>
      <c r="E53" s="1578">
        <v>0</v>
      </c>
      <c r="F53" s="186">
        <f t="shared" si="27"/>
        <v>0.71479999999999999</v>
      </c>
      <c r="G53" s="186">
        <f t="shared" si="28"/>
        <v>0.28959999999999997</v>
      </c>
      <c r="H53" s="478">
        <v>0</v>
      </c>
      <c r="I53" s="1292">
        <f t="shared" si="21"/>
        <v>578.73</v>
      </c>
      <c r="J53" s="1293">
        <f t="shared" si="22"/>
        <v>28.06789123869763</v>
      </c>
      <c r="K53" s="1294">
        <f t="shared" si="15"/>
        <v>3430.9601665794003</v>
      </c>
      <c r="L53" s="1294">
        <f t="shared" si="23"/>
        <v>0</v>
      </c>
      <c r="M53" s="1295">
        <f t="shared" si="16"/>
        <v>0</v>
      </c>
      <c r="N53" s="1249">
        <f t="shared" si="24"/>
        <v>0.19892488097366726</v>
      </c>
      <c r="O53" s="1249">
        <f t="shared" si="24"/>
        <v>0.26585903447659598</v>
      </c>
      <c r="P53" s="1249">
        <f t="shared" si="24"/>
        <v>8.9228108703258049E-2</v>
      </c>
      <c r="Q53" s="1249">
        <f t="shared" si="24"/>
        <v>0</v>
      </c>
      <c r="R53" s="1249">
        <f t="shared" si="24"/>
        <v>0</v>
      </c>
      <c r="S53" s="1249">
        <f t="shared" si="24"/>
        <v>0</v>
      </c>
      <c r="T53" s="1249">
        <f t="shared" si="24"/>
        <v>0.4459879758464787</v>
      </c>
      <c r="U53" s="1282">
        <f t="shared" si="18"/>
        <v>1</v>
      </c>
      <c r="V53" s="1283">
        <f t="shared" si="29"/>
        <v>0.29028184578274857</v>
      </c>
      <c r="W53" s="1249">
        <f t="shared" si="25"/>
        <v>0.30317187715157518</v>
      </c>
      <c r="X53" s="1249">
        <f t="shared" si="25"/>
        <v>8.2805443243048754E-2</v>
      </c>
      <c r="Y53" s="1249">
        <f t="shared" si="25"/>
        <v>0</v>
      </c>
      <c r="Z53" s="1249">
        <f t="shared" si="25"/>
        <v>0</v>
      </c>
      <c r="AA53" s="1249">
        <f t="shared" si="25"/>
        <v>0</v>
      </c>
      <c r="AB53" s="1249">
        <f t="shared" si="25"/>
        <v>0.32374083382262742</v>
      </c>
      <c r="AC53" s="1282">
        <f t="shared" si="26"/>
        <v>0.99999999999999989</v>
      </c>
    </row>
    <row r="54" spans="1:29">
      <c r="A54" s="187">
        <f t="shared" si="20"/>
        <v>1954</v>
      </c>
      <c r="B54" s="1655">
        <v>6.1065695599999996</v>
      </c>
      <c r="C54" s="409"/>
      <c r="D54" s="1577">
        <v>0</v>
      </c>
      <c r="E54" s="1578">
        <v>0</v>
      </c>
      <c r="F54" s="186">
        <f t="shared" si="27"/>
        <v>0.71479999999999999</v>
      </c>
      <c r="G54" s="186">
        <f t="shared" si="28"/>
        <v>0.28959999999999997</v>
      </c>
      <c r="H54" s="478">
        <v>0</v>
      </c>
      <c r="I54" s="1292">
        <f t="shared" si="21"/>
        <v>578.73</v>
      </c>
      <c r="J54" s="1293">
        <f t="shared" si="22"/>
        <v>28.06789123869763</v>
      </c>
      <c r="K54" s="1294">
        <f t="shared" si="15"/>
        <v>3534.0550014587998</v>
      </c>
      <c r="L54" s="1294">
        <f t="shared" si="23"/>
        <v>0</v>
      </c>
      <c r="M54" s="1295">
        <f t="shared" si="16"/>
        <v>0</v>
      </c>
      <c r="N54" s="1249">
        <f t="shared" si="24"/>
        <v>0.19892488097366726</v>
      </c>
      <c r="O54" s="1249">
        <f t="shared" si="24"/>
        <v>0.26585903447659598</v>
      </c>
      <c r="P54" s="1249">
        <f t="shared" si="24"/>
        <v>8.9228108703258049E-2</v>
      </c>
      <c r="Q54" s="1249">
        <f t="shared" si="24"/>
        <v>0</v>
      </c>
      <c r="R54" s="1249">
        <f t="shared" si="24"/>
        <v>0</v>
      </c>
      <c r="S54" s="1249">
        <f t="shared" si="24"/>
        <v>0</v>
      </c>
      <c r="T54" s="1249">
        <f t="shared" si="24"/>
        <v>0.4459879758464787</v>
      </c>
      <c r="U54" s="1282">
        <f t="shared" si="18"/>
        <v>1</v>
      </c>
      <c r="V54" s="1283">
        <f t="shared" si="29"/>
        <v>0.29028184578274857</v>
      </c>
      <c r="W54" s="1249">
        <f t="shared" si="25"/>
        <v>0.30317187715157518</v>
      </c>
      <c r="X54" s="1249">
        <f t="shared" si="25"/>
        <v>8.2805443243048754E-2</v>
      </c>
      <c r="Y54" s="1249">
        <f t="shared" si="25"/>
        <v>0</v>
      </c>
      <c r="Z54" s="1249">
        <f t="shared" si="25"/>
        <v>0</v>
      </c>
      <c r="AA54" s="1249">
        <f t="shared" si="25"/>
        <v>0</v>
      </c>
      <c r="AB54" s="1249">
        <f t="shared" si="25"/>
        <v>0.32374083382262742</v>
      </c>
      <c r="AC54" s="1282">
        <f t="shared" si="26"/>
        <v>0.99999999999999989</v>
      </c>
    </row>
    <row r="55" spans="1:29">
      <c r="A55" s="187">
        <f t="shared" si="20"/>
        <v>1955</v>
      </c>
      <c r="B55" s="1655">
        <v>6.2725644799999998</v>
      </c>
      <c r="C55" s="409"/>
      <c r="D55" s="1577">
        <v>0</v>
      </c>
      <c r="E55" s="1578">
        <v>0</v>
      </c>
      <c r="F55" s="186">
        <f t="shared" si="27"/>
        <v>0.71479999999999999</v>
      </c>
      <c r="G55" s="186">
        <f t="shared" si="28"/>
        <v>0.28959999999999997</v>
      </c>
      <c r="H55" s="478">
        <v>0</v>
      </c>
      <c r="I55" s="1292">
        <f t="shared" si="21"/>
        <v>578.73</v>
      </c>
      <c r="J55" s="1293">
        <f t="shared" si="22"/>
        <v>28.06789123869763</v>
      </c>
      <c r="K55" s="1294">
        <f t="shared" si="15"/>
        <v>3630.1212415104001</v>
      </c>
      <c r="L55" s="1294">
        <f t="shared" si="23"/>
        <v>0</v>
      </c>
      <c r="M55" s="1295">
        <f t="shared" si="16"/>
        <v>0</v>
      </c>
      <c r="N55" s="1249">
        <f t="shared" si="24"/>
        <v>0.19892488097366726</v>
      </c>
      <c r="O55" s="1249">
        <f t="shared" si="24"/>
        <v>0.26585903447659598</v>
      </c>
      <c r="P55" s="1249">
        <f t="shared" si="24"/>
        <v>8.9228108703258049E-2</v>
      </c>
      <c r="Q55" s="1249">
        <f t="shared" si="24"/>
        <v>0</v>
      </c>
      <c r="R55" s="1249">
        <f t="shared" si="24"/>
        <v>0</v>
      </c>
      <c r="S55" s="1249">
        <f t="shared" si="24"/>
        <v>0</v>
      </c>
      <c r="T55" s="1249">
        <f t="shared" si="24"/>
        <v>0.4459879758464787</v>
      </c>
      <c r="U55" s="1282">
        <f t="shared" si="18"/>
        <v>1</v>
      </c>
      <c r="V55" s="1283">
        <f t="shared" si="29"/>
        <v>0.29028184578274857</v>
      </c>
      <c r="W55" s="1249">
        <f t="shared" si="25"/>
        <v>0.30317187715157518</v>
      </c>
      <c r="X55" s="1249">
        <f t="shared" si="25"/>
        <v>8.2805443243048754E-2</v>
      </c>
      <c r="Y55" s="1249">
        <f t="shared" si="25"/>
        <v>0</v>
      </c>
      <c r="Z55" s="1249">
        <f t="shared" si="25"/>
        <v>0</v>
      </c>
      <c r="AA55" s="1249">
        <f t="shared" si="25"/>
        <v>0</v>
      </c>
      <c r="AB55" s="1249">
        <f t="shared" si="25"/>
        <v>0.32374083382262742</v>
      </c>
      <c r="AC55" s="1282">
        <f t="shared" si="26"/>
        <v>0.99999999999999989</v>
      </c>
    </row>
    <row r="56" spans="1:29">
      <c r="A56" s="187">
        <f t="shared" si="20"/>
        <v>1956</v>
      </c>
      <c r="B56" s="1655">
        <v>6.4651860000000001</v>
      </c>
      <c r="C56" s="409"/>
      <c r="D56" s="1577">
        <v>0</v>
      </c>
      <c r="E56" s="1578">
        <v>0</v>
      </c>
      <c r="F56" s="186">
        <f t="shared" si="27"/>
        <v>0.71479999999999999</v>
      </c>
      <c r="G56" s="186">
        <f t="shared" si="28"/>
        <v>0.28959999999999997</v>
      </c>
      <c r="H56" s="478">
        <v>0</v>
      </c>
      <c r="I56" s="1292">
        <f t="shared" si="21"/>
        <v>578.73</v>
      </c>
      <c r="J56" s="1293">
        <f t="shared" si="22"/>
        <v>28.06789123869763</v>
      </c>
      <c r="K56" s="1294">
        <f t="shared" si="15"/>
        <v>3741.5970937800003</v>
      </c>
      <c r="L56" s="1294">
        <f t="shared" si="23"/>
        <v>0</v>
      </c>
      <c r="M56" s="1295">
        <f t="shared" si="16"/>
        <v>0</v>
      </c>
      <c r="N56" s="1249">
        <f t="shared" si="24"/>
        <v>0.19892488097366726</v>
      </c>
      <c r="O56" s="1249">
        <f t="shared" si="24"/>
        <v>0.26585903447659598</v>
      </c>
      <c r="P56" s="1249">
        <f t="shared" si="24"/>
        <v>8.9228108703258049E-2</v>
      </c>
      <c r="Q56" s="1249">
        <f t="shared" si="24"/>
        <v>0</v>
      </c>
      <c r="R56" s="1249">
        <f t="shared" si="24"/>
        <v>0</v>
      </c>
      <c r="S56" s="1249">
        <f t="shared" si="24"/>
        <v>0</v>
      </c>
      <c r="T56" s="1249">
        <f t="shared" si="24"/>
        <v>0.4459879758464787</v>
      </c>
      <c r="U56" s="1282">
        <f t="shared" si="18"/>
        <v>1</v>
      </c>
      <c r="V56" s="1283">
        <f t="shared" si="29"/>
        <v>0.29028184578274857</v>
      </c>
      <c r="W56" s="1249">
        <f t="shared" si="25"/>
        <v>0.30317187715157518</v>
      </c>
      <c r="X56" s="1249">
        <f t="shared" si="25"/>
        <v>8.2805443243048754E-2</v>
      </c>
      <c r="Y56" s="1249">
        <f t="shared" si="25"/>
        <v>0</v>
      </c>
      <c r="Z56" s="1249">
        <f t="shared" si="25"/>
        <v>0</v>
      </c>
      <c r="AA56" s="1249">
        <f t="shared" si="25"/>
        <v>0</v>
      </c>
      <c r="AB56" s="1249">
        <f t="shared" si="25"/>
        <v>0.32374083382262742</v>
      </c>
      <c r="AC56" s="1282">
        <f t="shared" si="26"/>
        <v>0.99999999999999989</v>
      </c>
    </row>
    <row r="57" spans="1:29">
      <c r="A57" s="187">
        <f t="shared" si="20"/>
        <v>1957</v>
      </c>
      <c r="B57" s="1655">
        <v>6.6592707999999998</v>
      </c>
      <c r="C57" s="409"/>
      <c r="D57" s="1577">
        <v>0</v>
      </c>
      <c r="E57" s="1578">
        <v>0</v>
      </c>
      <c r="F57" s="186">
        <f t="shared" si="27"/>
        <v>0.71479999999999999</v>
      </c>
      <c r="G57" s="186">
        <f t="shared" si="28"/>
        <v>0.28959999999999997</v>
      </c>
      <c r="H57" s="478">
        <v>0</v>
      </c>
      <c r="I57" s="1292">
        <f t="shared" si="21"/>
        <v>578.73</v>
      </c>
      <c r="J57" s="1293">
        <f t="shared" si="22"/>
        <v>28.06789123869763</v>
      </c>
      <c r="K57" s="1294">
        <f t="shared" si="15"/>
        <v>3853.9197900839999</v>
      </c>
      <c r="L57" s="1294">
        <f t="shared" si="23"/>
        <v>0</v>
      </c>
      <c r="M57" s="1295">
        <f t="shared" si="16"/>
        <v>0</v>
      </c>
      <c r="N57" s="1249">
        <f t="shared" si="24"/>
        <v>0.19892488097366726</v>
      </c>
      <c r="O57" s="1249">
        <f t="shared" si="24"/>
        <v>0.26585903447659598</v>
      </c>
      <c r="P57" s="1249">
        <f t="shared" si="24"/>
        <v>8.9228108703258049E-2</v>
      </c>
      <c r="Q57" s="1249">
        <f t="shared" si="24"/>
        <v>0</v>
      </c>
      <c r="R57" s="1249">
        <f t="shared" si="24"/>
        <v>0</v>
      </c>
      <c r="S57" s="1249">
        <f t="shared" si="24"/>
        <v>0</v>
      </c>
      <c r="T57" s="1249">
        <f t="shared" si="24"/>
        <v>0.4459879758464787</v>
      </c>
      <c r="U57" s="1282">
        <f t="shared" si="18"/>
        <v>1</v>
      </c>
      <c r="V57" s="1283">
        <f t="shared" si="29"/>
        <v>0.29028184578274857</v>
      </c>
      <c r="W57" s="1249">
        <f t="shared" si="25"/>
        <v>0.30317187715157518</v>
      </c>
      <c r="X57" s="1249">
        <f t="shared" si="25"/>
        <v>8.2805443243048754E-2</v>
      </c>
      <c r="Y57" s="1249">
        <f t="shared" si="25"/>
        <v>0</v>
      </c>
      <c r="Z57" s="1249">
        <f t="shared" si="25"/>
        <v>0</v>
      </c>
      <c r="AA57" s="1249">
        <f t="shared" si="25"/>
        <v>0</v>
      </c>
      <c r="AB57" s="1249">
        <f t="shared" si="25"/>
        <v>0.32374083382262742</v>
      </c>
      <c r="AC57" s="1282">
        <f t="shared" si="26"/>
        <v>0.99999999999999989</v>
      </c>
    </row>
    <row r="58" spans="1:29">
      <c r="A58" s="187">
        <f t="shared" si="20"/>
        <v>1958</v>
      </c>
      <c r="B58" s="1655">
        <v>6.8699176</v>
      </c>
      <c r="C58" s="409"/>
      <c r="D58" s="1577">
        <v>0</v>
      </c>
      <c r="E58" s="1578">
        <v>0</v>
      </c>
      <c r="F58" s="186">
        <f t="shared" si="27"/>
        <v>0.71479999999999999</v>
      </c>
      <c r="G58" s="186">
        <f t="shared" si="28"/>
        <v>0.28959999999999997</v>
      </c>
      <c r="H58" s="478">
        <v>0</v>
      </c>
      <c r="I58" s="1292">
        <f t="shared" si="21"/>
        <v>578.73</v>
      </c>
      <c r="J58" s="1293">
        <f t="shared" si="22"/>
        <v>28.06789123869763</v>
      </c>
      <c r="K58" s="1294">
        <f t="shared" si="15"/>
        <v>3975.8274126480001</v>
      </c>
      <c r="L58" s="1294">
        <f t="shared" si="23"/>
        <v>0</v>
      </c>
      <c r="M58" s="1295">
        <f t="shared" si="16"/>
        <v>0</v>
      </c>
      <c r="N58" s="1249">
        <f t="shared" si="24"/>
        <v>0.19892488097366726</v>
      </c>
      <c r="O58" s="1249">
        <f t="shared" si="24"/>
        <v>0.26585903447659598</v>
      </c>
      <c r="P58" s="1249">
        <f t="shared" si="24"/>
        <v>8.9228108703258049E-2</v>
      </c>
      <c r="Q58" s="1249">
        <f t="shared" si="24"/>
        <v>0</v>
      </c>
      <c r="R58" s="1249">
        <f t="shared" si="24"/>
        <v>0</v>
      </c>
      <c r="S58" s="1249">
        <f t="shared" si="24"/>
        <v>0</v>
      </c>
      <c r="T58" s="1249">
        <f t="shared" si="24"/>
        <v>0.4459879758464787</v>
      </c>
      <c r="U58" s="1282">
        <f t="shared" si="18"/>
        <v>1</v>
      </c>
      <c r="V58" s="1283">
        <f t="shared" si="29"/>
        <v>0.29028184578274857</v>
      </c>
      <c r="W58" s="1249">
        <f t="shared" si="25"/>
        <v>0.30317187715157518</v>
      </c>
      <c r="X58" s="1249">
        <f t="shared" si="25"/>
        <v>8.2805443243048754E-2</v>
      </c>
      <c r="Y58" s="1249">
        <f t="shared" si="25"/>
        <v>0</v>
      </c>
      <c r="Z58" s="1249">
        <f t="shared" si="25"/>
        <v>0</v>
      </c>
      <c r="AA58" s="1249">
        <f t="shared" si="25"/>
        <v>0</v>
      </c>
      <c r="AB58" s="1249">
        <f t="shared" si="25"/>
        <v>0.32374083382262742</v>
      </c>
      <c r="AC58" s="1282">
        <f t="shared" si="26"/>
        <v>0.99999999999999989</v>
      </c>
    </row>
    <row r="59" spans="1:29">
      <c r="A59" s="187">
        <f t="shared" si="20"/>
        <v>1959</v>
      </c>
      <c r="B59" s="1655">
        <v>7.0827593200000001</v>
      </c>
      <c r="C59" s="409"/>
      <c r="D59" s="1577">
        <v>0</v>
      </c>
      <c r="E59" s="1578">
        <v>0</v>
      </c>
      <c r="F59" s="186">
        <f t="shared" si="27"/>
        <v>0.71479999999999999</v>
      </c>
      <c r="G59" s="186">
        <f t="shared" si="28"/>
        <v>0.28959999999999997</v>
      </c>
      <c r="H59" s="478">
        <v>0</v>
      </c>
      <c r="I59" s="1292">
        <f t="shared" si="21"/>
        <v>578.73</v>
      </c>
      <c r="J59" s="1293">
        <f t="shared" si="22"/>
        <v>28.06789123869763</v>
      </c>
      <c r="K59" s="1294">
        <f t="shared" si="15"/>
        <v>4099.0053012635999</v>
      </c>
      <c r="L59" s="1294">
        <f t="shared" si="23"/>
        <v>0</v>
      </c>
      <c r="M59" s="1295">
        <f t="shared" si="16"/>
        <v>0</v>
      </c>
      <c r="N59" s="1249">
        <f t="shared" si="24"/>
        <v>0.19892488097366726</v>
      </c>
      <c r="O59" s="1249">
        <f t="shared" si="24"/>
        <v>0.26585903447659598</v>
      </c>
      <c r="P59" s="1249">
        <f t="shared" si="24"/>
        <v>8.9228108703258049E-2</v>
      </c>
      <c r="Q59" s="1249">
        <f t="shared" si="24"/>
        <v>0</v>
      </c>
      <c r="R59" s="1249">
        <f t="shared" si="24"/>
        <v>0</v>
      </c>
      <c r="S59" s="1249">
        <f t="shared" si="24"/>
        <v>0</v>
      </c>
      <c r="T59" s="1249">
        <f t="shared" si="24"/>
        <v>0.4459879758464787</v>
      </c>
      <c r="U59" s="1282">
        <f t="shared" si="18"/>
        <v>1</v>
      </c>
      <c r="V59" s="1283">
        <f t="shared" si="29"/>
        <v>0.29028184578274857</v>
      </c>
      <c r="W59" s="1249">
        <f t="shared" si="25"/>
        <v>0.30317187715157518</v>
      </c>
      <c r="X59" s="1249">
        <f t="shared" si="25"/>
        <v>8.2805443243048754E-2</v>
      </c>
      <c r="Y59" s="1249">
        <f t="shared" si="25"/>
        <v>0</v>
      </c>
      <c r="Z59" s="1249">
        <f t="shared" si="25"/>
        <v>0</v>
      </c>
      <c r="AA59" s="1249">
        <f t="shared" si="25"/>
        <v>0</v>
      </c>
      <c r="AB59" s="1249">
        <f t="shared" si="25"/>
        <v>0.32374083382262742</v>
      </c>
      <c r="AC59" s="1282">
        <f t="shared" si="26"/>
        <v>0.99999999999999989</v>
      </c>
    </row>
    <row r="60" spans="1:29">
      <c r="A60" s="187">
        <f t="shared" si="20"/>
        <v>1960</v>
      </c>
      <c r="B60" s="1655">
        <v>7.2819655999999995</v>
      </c>
      <c r="C60" s="529"/>
      <c r="D60" s="1577">
        <v>0</v>
      </c>
      <c r="E60" s="1578">
        <v>0</v>
      </c>
      <c r="F60" s="186">
        <f t="shared" si="27"/>
        <v>0.71479999999999999</v>
      </c>
      <c r="G60" s="186">
        <f t="shared" si="28"/>
        <v>0.28959999999999997</v>
      </c>
      <c r="H60" s="478">
        <v>0</v>
      </c>
      <c r="I60" s="1292">
        <f t="shared" si="21"/>
        <v>578.73</v>
      </c>
      <c r="J60" s="1293">
        <f t="shared" si="22"/>
        <v>28.06789123869763</v>
      </c>
      <c r="K60" s="1294">
        <f t="shared" si="15"/>
        <v>4214.2919516880002</v>
      </c>
      <c r="L60" s="1294">
        <f t="shared" si="23"/>
        <v>0</v>
      </c>
      <c r="M60" s="1295">
        <f t="shared" si="16"/>
        <v>0</v>
      </c>
      <c r="N60" s="1249">
        <f t="shared" si="24"/>
        <v>0.19892488097366726</v>
      </c>
      <c r="O60" s="1249">
        <f t="shared" si="24"/>
        <v>0.26585903447659598</v>
      </c>
      <c r="P60" s="1249">
        <f t="shared" si="24"/>
        <v>8.9228108703258049E-2</v>
      </c>
      <c r="Q60" s="1249">
        <f t="shared" si="24"/>
        <v>0</v>
      </c>
      <c r="R60" s="1249">
        <f t="shared" si="24"/>
        <v>0</v>
      </c>
      <c r="S60" s="1249">
        <f t="shared" si="24"/>
        <v>0</v>
      </c>
      <c r="T60" s="1249">
        <f t="shared" si="24"/>
        <v>0.4459879758464787</v>
      </c>
      <c r="U60" s="1282">
        <f t="shared" si="18"/>
        <v>1</v>
      </c>
      <c r="V60" s="1283">
        <f t="shared" si="29"/>
        <v>0.29028184578274857</v>
      </c>
      <c r="W60" s="1249">
        <f t="shared" si="25"/>
        <v>0.30317187715157518</v>
      </c>
      <c r="X60" s="1249">
        <f t="shared" si="25"/>
        <v>8.2805443243048754E-2</v>
      </c>
      <c r="Y60" s="1249">
        <f t="shared" si="25"/>
        <v>0</v>
      </c>
      <c r="Z60" s="1249">
        <f t="shared" si="25"/>
        <v>0</v>
      </c>
      <c r="AA60" s="1249">
        <f t="shared" si="25"/>
        <v>0</v>
      </c>
      <c r="AB60" s="1249">
        <f t="shared" si="25"/>
        <v>0.32374083382262742</v>
      </c>
      <c r="AC60" s="1282">
        <f t="shared" si="26"/>
        <v>0.99999999999999989</v>
      </c>
    </row>
    <row r="61" spans="1:29">
      <c r="A61" s="187">
        <f t="shared" si="20"/>
        <v>1961</v>
      </c>
      <c r="B61" s="1655">
        <v>7.6498422000000001</v>
      </c>
      <c r="C61" s="528">
        <v>599.59447889563342</v>
      </c>
      <c r="D61" s="1577">
        <v>0</v>
      </c>
      <c r="E61" s="1578">
        <v>0</v>
      </c>
      <c r="F61" s="186">
        <f t="shared" si="27"/>
        <v>0.71479999999999999</v>
      </c>
      <c r="G61" s="186">
        <f t="shared" si="28"/>
        <v>0.28959999999999997</v>
      </c>
      <c r="H61" s="478">
        <v>0</v>
      </c>
      <c r="I61" s="1292">
        <f t="shared" si="21"/>
        <v>578.73</v>
      </c>
      <c r="J61" s="1293">
        <f t="shared" si="22"/>
        <v>28.06789123869763</v>
      </c>
      <c r="K61" s="1294">
        <f t="shared" si="15"/>
        <v>4427.193176406</v>
      </c>
      <c r="L61" s="1294">
        <f t="shared" si="23"/>
        <v>16829.35262096622</v>
      </c>
      <c r="M61" s="1295">
        <f t="shared" si="16"/>
        <v>16829.35262096622</v>
      </c>
      <c r="N61" s="1249">
        <f t="shared" si="24"/>
        <v>0.19892488097366726</v>
      </c>
      <c r="O61" s="1249">
        <f t="shared" si="24"/>
        <v>0.26585903447659598</v>
      </c>
      <c r="P61" s="1249">
        <f t="shared" si="24"/>
        <v>8.9228108703258049E-2</v>
      </c>
      <c r="Q61" s="1249">
        <f t="shared" si="24"/>
        <v>0</v>
      </c>
      <c r="R61" s="1249">
        <f t="shared" si="24"/>
        <v>0</v>
      </c>
      <c r="S61" s="1249">
        <f t="shared" si="24"/>
        <v>0</v>
      </c>
      <c r="T61" s="1249">
        <f t="shared" si="24"/>
        <v>0.4459879758464787</v>
      </c>
      <c r="U61" s="1282">
        <f t="shared" si="18"/>
        <v>1</v>
      </c>
      <c r="V61" s="1283">
        <f t="shared" si="29"/>
        <v>0.29028184578274857</v>
      </c>
      <c r="W61" s="1249">
        <f t="shared" si="25"/>
        <v>0.30317187715157518</v>
      </c>
      <c r="X61" s="1249">
        <f t="shared" si="25"/>
        <v>8.2805443243048754E-2</v>
      </c>
      <c r="Y61" s="1249">
        <f t="shared" si="25"/>
        <v>0</v>
      </c>
      <c r="Z61" s="1249">
        <f t="shared" si="25"/>
        <v>0</v>
      </c>
      <c r="AA61" s="1249">
        <f t="shared" si="25"/>
        <v>0</v>
      </c>
      <c r="AB61" s="1249">
        <f t="shared" si="25"/>
        <v>0.32374083382262742</v>
      </c>
      <c r="AC61" s="1282">
        <f t="shared" si="26"/>
        <v>0.99999999999999989</v>
      </c>
    </row>
    <row r="62" spans="1:29">
      <c r="A62" s="187">
        <f t="shared" si="20"/>
        <v>1962</v>
      </c>
      <c r="B62" s="1655">
        <v>7.8559936000000006</v>
      </c>
      <c r="C62" s="528">
        <v>636.63672484588017</v>
      </c>
      <c r="D62" s="1577">
        <v>0</v>
      </c>
      <c r="E62" s="1578">
        <v>0</v>
      </c>
      <c r="F62" s="186">
        <f t="shared" si="27"/>
        <v>0.71479999999999999</v>
      </c>
      <c r="G62" s="186">
        <f t="shared" si="28"/>
        <v>0.28959999999999997</v>
      </c>
      <c r="H62" s="478">
        <v>0</v>
      </c>
      <c r="I62" s="1292">
        <f t="shared" si="21"/>
        <v>578.73</v>
      </c>
      <c r="J62" s="1293">
        <f t="shared" si="22"/>
        <v>28.06789123869763</v>
      </c>
      <c r="K62" s="1294">
        <f t="shared" si="15"/>
        <v>4546.4991761280007</v>
      </c>
      <c r="L62" s="1294">
        <f t="shared" si="23"/>
        <v>17869.050351534835</v>
      </c>
      <c r="M62" s="1295">
        <f t="shared" si="16"/>
        <v>17869.050351534835</v>
      </c>
      <c r="N62" s="1249">
        <f t="shared" si="24"/>
        <v>0.19892488097366726</v>
      </c>
      <c r="O62" s="1249">
        <f t="shared" si="24"/>
        <v>0.26585903447659598</v>
      </c>
      <c r="P62" s="1249">
        <f t="shared" si="24"/>
        <v>8.9228108703258049E-2</v>
      </c>
      <c r="Q62" s="1249">
        <f t="shared" si="24"/>
        <v>0</v>
      </c>
      <c r="R62" s="1249">
        <f t="shared" si="24"/>
        <v>0</v>
      </c>
      <c r="S62" s="1249">
        <f t="shared" si="24"/>
        <v>0</v>
      </c>
      <c r="T62" s="1249">
        <f t="shared" si="24"/>
        <v>0.4459879758464787</v>
      </c>
      <c r="U62" s="1282">
        <f t="shared" si="18"/>
        <v>1</v>
      </c>
      <c r="V62" s="1283">
        <f t="shared" si="29"/>
        <v>0.29028184578274857</v>
      </c>
      <c r="W62" s="1249">
        <f t="shared" si="25"/>
        <v>0.30317187715157518</v>
      </c>
      <c r="X62" s="1249">
        <f t="shared" si="25"/>
        <v>8.2805443243048754E-2</v>
      </c>
      <c r="Y62" s="1249">
        <f t="shared" si="25"/>
        <v>0</v>
      </c>
      <c r="Z62" s="1249">
        <f t="shared" si="25"/>
        <v>0</v>
      </c>
      <c r="AA62" s="1249">
        <f t="shared" si="25"/>
        <v>0</v>
      </c>
      <c r="AB62" s="1249">
        <f t="shared" si="25"/>
        <v>0.32374083382262742</v>
      </c>
      <c r="AC62" s="1282">
        <f t="shared" si="26"/>
        <v>0.99999999999999989</v>
      </c>
    </row>
    <row r="63" spans="1:29">
      <c r="A63" s="187">
        <f t="shared" si="20"/>
        <v>1963</v>
      </c>
      <c r="B63" s="1655">
        <v>8.062145000000001</v>
      </c>
      <c r="C63" s="528">
        <v>683.57985178312117</v>
      </c>
      <c r="D63" s="1577">
        <v>0</v>
      </c>
      <c r="E63" s="1578">
        <v>0</v>
      </c>
      <c r="F63" s="186">
        <f t="shared" si="27"/>
        <v>0.71479999999999999</v>
      </c>
      <c r="G63" s="186">
        <f t="shared" si="28"/>
        <v>0.28959999999999997</v>
      </c>
      <c r="H63" s="478">
        <v>0</v>
      </c>
      <c r="I63" s="1292">
        <f t="shared" si="21"/>
        <v>578.73</v>
      </c>
      <c r="J63" s="1293">
        <f t="shared" si="22"/>
        <v>28.06789123869763</v>
      </c>
      <c r="K63" s="1294">
        <f t="shared" si="15"/>
        <v>4665.8051758500005</v>
      </c>
      <c r="L63" s="1294">
        <f t="shared" si="23"/>
        <v>19186.644932813691</v>
      </c>
      <c r="M63" s="1295">
        <f t="shared" si="16"/>
        <v>19186.644932813691</v>
      </c>
      <c r="N63" s="1249">
        <f t="shared" si="24"/>
        <v>0.19892488097366726</v>
      </c>
      <c r="O63" s="1249">
        <f t="shared" si="24"/>
        <v>0.26585903447659598</v>
      </c>
      <c r="P63" s="1249">
        <f t="shared" si="24"/>
        <v>8.9228108703258049E-2</v>
      </c>
      <c r="Q63" s="1249">
        <f t="shared" si="24"/>
        <v>0</v>
      </c>
      <c r="R63" s="1249">
        <f t="shared" si="24"/>
        <v>0</v>
      </c>
      <c r="S63" s="1249">
        <f t="shared" si="24"/>
        <v>0</v>
      </c>
      <c r="T63" s="1249">
        <f t="shared" si="24"/>
        <v>0.4459879758464787</v>
      </c>
      <c r="U63" s="1282">
        <f t="shared" si="18"/>
        <v>1</v>
      </c>
      <c r="V63" s="1283">
        <f t="shared" si="29"/>
        <v>0.29028184578274857</v>
      </c>
      <c r="W63" s="1249">
        <f t="shared" si="25"/>
        <v>0.30317187715157518</v>
      </c>
      <c r="X63" s="1249">
        <f t="shared" si="25"/>
        <v>8.2805443243048754E-2</v>
      </c>
      <c r="Y63" s="1249">
        <f t="shared" si="25"/>
        <v>0</v>
      </c>
      <c r="Z63" s="1249">
        <f t="shared" si="25"/>
        <v>0</v>
      </c>
      <c r="AA63" s="1249">
        <f t="shared" si="25"/>
        <v>0</v>
      </c>
      <c r="AB63" s="1249">
        <f t="shared" si="25"/>
        <v>0.32374083382262742</v>
      </c>
      <c r="AC63" s="1282">
        <f t="shared" si="26"/>
        <v>0.99999999999999989</v>
      </c>
    </row>
    <row r="64" spans="1:29">
      <c r="A64" s="187">
        <f t="shared" si="20"/>
        <v>1964</v>
      </c>
      <c r="B64" s="1655">
        <v>8.2682964000000005</v>
      </c>
      <c r="C64" s="528">
        <v>737.85459954797477</v>
      </c>
      <c r="D64" s="1577">
        <v>0</v>
      </c>
      <c r="E64" s="1578">
        <v>0</v>
      </c>
      <c r="F64" s="186">
        <f t="shared" si="27"/>
        <v>0.71479999999999999</v>
      </c>
      <c r="G64" s="186">
        <f t="shared" si="28"/>
        <v>0.28959999999999997</v>
      </c>
      <c r="H64" s="478">
        <v>0</v>
      </c>
      <c r="I64" s="1292">
        <f t="shared" si="21"/>
        <v>578.73</v>
      </c>
      <c r="J64" s="1293">
        <f t="shared" si="22"/>
        <v>28.06789123869763</v>
      </c>
      <c r="K64" s="1294">
        <f t="shared" si="15"/>
        <v>4785.1111755720003</v>
      </c>
      <c r="L64" s="1294">
        <f t="shared" si="23"/>
        <v>20710.02265008535</v>
      </c>
      <c r="M64" s="1295">
        <f t="shared" si="16"/>
        <v>20710.02265008535</v>
      </c>
      <c r="N64" s="1249">
        <f t="shared" si="24"/>
        <v>0.19892488097366726</v>
      </c>
      <c r="O64" s="1249">
        <f t="shared" si="24"/>
        <v>0.26585903447659598</v>
      </c>
      <c r="P64" s="1249">
        <f t="shared" si="24"/>
        <v>8.9228108703258049E-2</v>
      </c>
      <c r="Q64" s="1249">
        <f t="shared" si="24"/>
        <v>0</v>
      </c>
      <c r="R64" s="1249">
        <f t="shared" si="24"/>
        <v>0</v>
      </c>
      <c r="S64" s="1249">
        <f t="shared" si="24"/>
        <v>0</v>
      </c>
      <c r="T64" s="1249">
        <f t="shared" si="24"/>
        <v>0.4459879758464787</v>
      </c>
      <c r="U64" s="1282">
        <f t="shared" si="18"/>
        <v>1</v>
      </c>
      <c r="V64" s="1283">
        <f t="shared" si="29"/>
        <v>0.29028184578274857</v>
      </c>
      <c r="W64" s="1249">
        <f t="shared" si="25"/>
        <v>0.30317187715157518</v>
      </c>
      <c r="X64" s="1249">
        <f t="shared" si="25"/>
        <v>8.2805443243048754E-2</v>
      </c>
      <c r="Y64" s="1249">
        <f t="shared" si="25"/>
        <v>0</v>
      </c>
      <c r="Z64" s="1249">
        <f t="shared" si="25"/>
        <v>0</v>
      </c>
      <c r="AA64" s="1249">
        <f t="shared" si="25"/>
        <v>0</v>
      </c>
      <c r="AB64" s="1249">
        <f t="shared" si="25"/>
        <v>0.32374083382262742</v>
      </c>
      <c r="AC64" s="1282">
        <f t="shared" si="26"/>
        <v>0.99999999999999989</v>
      </c>
    </row>
    <row r="65" spans="1:29">
      <c r="A65" s="187">
        <f t="shared" si="20"/>
        <v>1965</v>
      </c>
      <c r="B65" s="1655">
        <v>8.4744478000000001</v>
      </c>
      <c r="C65" s="528">
        <v>783.03167192931596</v>
      </c>
      <c r="D65" s="1577">
        <v>0</v>
      </c>
      <c r="E65" s="1578">
        <v>0</v>
      </c>
      <c r="F65" s="186">
        <f t="shared" si="27"/>
        <v>0.71479999999999999</v>
      </c>
      <c r="G65" s="186">
        <f t="shared" si="28"/>
        <v>0.28959999999999997</v>
      </c>
      <c r="H65" s="478">
        <v>0</v>
      </c>
      <c r="I65" s="1292">
        <f t="shared" si="21"/>
        <v>578.73</v>
      </c>
      <c r="J65" s="1293">
        <f t="shared" si="22"/>
        <v>28.06789123869763</v>
      </c>
      <c r="K65" s="1294">
        <f t="shared" si="15"/>
        <v>4904.4171752940001</v>
      </c>
      <c r="L65" s="1294">
        <f t="shared" si="23"/>
        <v>21978.047804167603</v>
      </c>
      <c r="M65" s="1295">
        <f t="shared" si="16"/>
        <v>21978.047804167603</v>
      </c>
      <c r="N65" s="1249">
        <f t="shared" si="24"/>
        <v>0.19892488097366726</v>
      </c>
      <c r="O65" s="1249">
        <f t="shared" si="24"/>
        <v>0.26585903447659598</v>
      </c>
      <c r="P65" s="1249">
        <f t="shared" si="24"/>
        <v>8.9228108703258049E-2</v>
      </c>
      <c r="Q65" s="1249">
        <f t="shared" si="24"/>
        <v>0</v>
      </c>
      <c r="R65" s="1249">
        <f t="shared" si="24"/>
        <v>0</v>
      </c>
      <c r="S65" s="1249">
        <f t="shared" si="24"/>
        <v>0</v>
      </c>
      <c r="T65" s="1249">
        <f t="shared" si="24"/>
        <v>0.4459879758464787</v>
      </c>
      <c r="U65" s="1282">
        <f t="shared" si="18"/>
        <v>1</v>
      </c>
      <c r="V65" s="1283">
        <f t="shared" si="29"/>
        <v>0.29028184578274857</v>
      </c>
      <c r="W65" s="1249">
        <f t="shared" si="25"/>
        <v>0.30317187715157518</v>
      </c>
      <c r="X65" s="1249">
        <f t="shared" si="25"/>
        <v>8.2805443243048754E-2</v>
      </c>
      <c r="Y65" s="1249">
        <f t="shared" si="25"/>
        <v>0</v>
      </c>
      <c r="Z65" s="1249">
        <f t="shared" si="25"/>
        <v>0</v>
      </c>
      <c r="AA65" s="1249">
        <f t="shared" si="25"/>
        <v>0</v>
      </c>
      <c r="AB65" s="1249">
        <f t="shared" si="25"/>
        <v>0.32374083382262742</v>
      </c>
      <c r="AC65" s="1282">
        <f t="shared" si="26"/>
        <v>0.99999999999999989</v>
      </c>
    </row>
    <row r="66" spans="1:29">
      <c r="A66" s="187">
        <f t="shared" si="20"/>
        <v>1966</v>
      </c>
      <c r="B66" s="1655">
        <v>8.7407319999999995</v>
      </c>
      <c r="C66" s="528">
        <v>817.78503135778317</v>
      </c>
      <c r="D66" s="1577">
        <v>0</v>
      </c>
      <c r="E66" s="1578">
        <v>0</v>
      </c>
      <c r="F66" s="186">
        <f t="shared" si="27"/>
        <v>0.71479999999999999</v>
      </c>
      <c r="G66" s="186">
        <f t="shared" si="28"/>
        <v>0.28959999999999997</v>
      </c>
      <c r="H66" s="478">
        <v>0</v>
      </c>
      <c r="I66" s="1292">
        <f t="shared" si="21"/>
        <v>578.73</v>
      </c>
      <c r="J66" s="1293">
        <f t="shared" si="22"/>
        <v>28.06789123869763</v>
      </c>
      <c r="K66" s="1294">
        <f t="shared" si="15"/>
        <v>5058.5238303599999</v>
      </c>
      <c r="L66" s="1294">
        <f t="shared" si="23"/>
        <v>22953.50131678519</v>
      </c>
      <c r="M66" s="1295">
        <f t="shared" si="16"/>
        <v>22953.50131678519</v>
      </c>
      <c r="N66" s="1249">
        <f t="shared" si="24"/>
        <v>0.19892488097366726</v>
      </c>
      <c r="O66" s="1249">
        <f t="shared" si="24"/>
        <v>0.26585903447659598</v>
      </c>
      <c r="P66" s="1249">
        <f t="shared" si="24"/>
        <v>8.9228108703258049E-2</v>
      </c>
      <c r="Q66" s="1249">
        <f t="shared" si="24"/>
        <v>0</v>
      </c>
      <c r="R66" s="1249">
        <f t="shared" si="24"/>
        <v>0</v>
      </c>
      <c r="S66" s="1249">
        <f t="shared" si="24"/>
        <v>0</v>
      </c>
      <c r="T66" s="1249">
        <f t="shared" si="24"/>
        <v>0.4459879758464787</v>
      </c>
      <c r="U66" s="1282">
        <f t="shared" si="18"/>
        <v>1</v>
      </c>
      <c r="V66" s="1283">
        <f t="shared" si="29"/>
        <v>0.29028184578274857</v>
      </c>
      <c r="W66" s="1249">
        <f t="shared" si="25"/>
        <v>0.30317187715157518</v>
      </c>
      <c r="X66" s="1249">
        <f t="shared" si="25"/>
        <v>8.2805443243048754E-2</v>
      </c>
      <c r="Y66" s="1249">
        <f t="shared" si="25"/>
        <v>0</v>
      </c>
      <c r="Z66" s="1249">
        <f t="shared" si="25"/>
        <v>0</v>
      </c>
      <c r="AA66" s="1249">
        <f t="shared" si="25"/>
        <v>0</v>
      </c>
      <c r="AB66" s="1249">
        <f t="shared" si="25"/>
        <v>0.32374083382262742</v>
      </c>
      <c r="AC66" s="1282">
        <f t="shared" si="26"/>
        <v>0.99999999999999989</v>
      </c>
    </row>
    <row r="67" spans="1:29">
      <c r="A67" s="187">
        <f t="shared" si="20"/>
        <v>1967</v>
      </c>
      <c r="B67" s="1655">
        <v>9.0098299199999996</v>
      </c>
      <c r="C67" s="528">
        <v>876.63755217357675</v>
      </c>
      <c r="D67" s="1577">
        <v>0</v>
      </c>
      <c r="E67" s="1578">
        <v>0</v>
      </c>
      <c r="F67" s="186">
        <f t="shared" si="27"/>
        <v>0.71479999999999999</v>
      </c>
      <c r="G67" s="186">
        <f t="shared" si="28"/>
        <v>0.28959999999999997</v>
      </c>
      <c r="H67" s="478">
        <v>0</v>
      </c>
      <c r="I67" s="1292">
        <f t="shared" si="21"/>
        <v>578.73</v>
      </c>
      <c r="J67" s="1293">
        <f t="shared" si="22"/>
        <v>28.06789123869763</v>
      </c>
      <c r="K67" s="1294">
        <f t="shared" si="15"/>
        <v>5214.2588696016001</v>
      </c>
      <c r="L67" s="1294">
        <f t="shared" si="23"/>
        <v>24605.367470166071</v>
      </c>
      <c r="M67" s="1295">
        <f t="shared" si="16"/>
        <v>24605.367470166071</v>
      </c>
      <c r="N67" s="1249">
        <f t="shared" ref="N67:T82" si="30">N66</f>
        <v>0.19892488097366726</v>
      </c>
      <c r="O67" s="1249">
        <f t="shared" si="30"/>
        <v>0.26585903447659598</v>
      </c>
      <c r="P67" s="1249">
        <f t="shared" si="30"/>
        <v>8.9228108703258049E-2</v>
      </c>
      <c r="Q67" s="1249">
        <f t="shared" si="30"/>
        <v>0</v>
      </c>
      <c r="R67" s="1249">
        <f t="shared" si="30"/>
        <v>0</v>
      </c>
      <c r="S67" s="1249">
        <f t="shared" si="30"/>
        <v>0</v>
      </c>
      <c r="T67" s="1249">
        <f t="shared" si="30"/>
        <v>0.4459879758464787</v>
      </c>
      <c r="U67" s="1282">
        <f t="shared" si="18"/>
        <v>1</v>
      </c>
      <c r="V67" s="1283">
        <f t="shared" si="29"/>
        <v>0.29028184578274857</v>
      </c>
      <c r="W67" s="1249">
        <f t="shared" si="29"/>
        <v>0.30317187715157518</v>
      </c>
      <c r="X67" s="1249">
        <f t="shared" si="29"/>
        <v>8.2805443243048754E-2</v>
      </c>
      <c r="Y67" s="1249">
        <f t="shared" si="29"/>
        <v>0</v>
      </c>
      <c r="Z67" s="1249">
        <f t="shared" si="29"/>
        <v>0</v>
      </c>
      <c r="AA67" s="1249">
        <f t="shared" si="29"/>
        <v>0</v>
      </c>
      <c r="AB67" s="1249">
        <f t="shared" si="29"/>
        <v>0.32374083382262742</v>
      </c>
      <c r="AC67" s="1282">
        <f t="shared" si="26"/>
        <v>0.99999999999999989</v>
      </c>
    </row>
    <row r="68" spans="1:29">
      <c r="A68" s="187">
        <f t="shared" si="20"/>
        <v>1968</v>
      </c>
      <c r="B68" s="1655">
        <v>9.2808861600000014</v>
      </c>
      <c r="C68" s="528">
        <v>913.04820912190667</v>
      </c>
      <c r="D68" s="1577">
        <v>0</v>
      </c>
      <c r="E68" s="1578">
        <v>0</v>
      </c>
      <c r="F68" s="186">
        <f t="shared" si="27"/>
        <v>0.71479999999999999</v>
      </c>
      <c r="G68" s="186">
        <f t="shared" si="28"/>
        <v>0.28959999999999997</v>
      </c>
      <c r="H68" s="478">
        <v>0</v>
      </c>
      <c r="I68" s="1292">
        <f t="shared" si="21"/>
        <v>578.73</v>
      </c>
      <c r="J68" s="1293">
        <f t="shared" si="22"/>
        <v>28.06789123869763</v>
      </c>
      <c r="K68" s="1294">
        <f t="shared" si="15"/>
        <v>5371.1272473768013</v>
      </c>
      <c r="L68" s="1294">
        <f t="shared" si="23"/>
        <v>25627.337829321325</v>
      </c>
      <c r="M68" s="1295">
        <f t="shared" si="16"/>
        <v>25627.337829321325</v>
      </c>
      <c r="N68" s="1249">
        <f t="shared" si="30"/>
        <v>0.19892488097366726</v>
      </c>
      <c r="O68" s="1249">
        <f t="shared" si="30"/>
        <v>0.26585903447659598</v>
      </c>
      <c r="P68" s="1249">
        <f t="shared" si="30"/>
        <v>8.9228108703258049E-2</v>
      </c>
      <c r="Q68" s="1249">
        <f t="shared" si="30"/>
        <v>0</v>
      </c>
      <c r="R68" s="1249">
        <f t="shared" si="30"/>
        <v>0</v>
      </c>
      <c r="S68" s="1249">
        <f t="shared" si="30"/>
        <v>0</v>
      </c>
      <c r="T68" s="1249">
        <f t="shared" si="30"/>
        <v>0.4459879758464787</v>
      </c>
      <c r="U68" s="1282">
        <f t="shared" si="18"/>
        <v>1</v>
      </c>
      <c r="V68" s="1283">
        <f t="shared" ref="V68:AB83" si="31">V67</f>
        <v>0.29028184578274857</v>
      </c>
      <c r="W68" s="1249">
        <f t="shared" si="31"/>
        <v>0.30317187715157518</v>
      </c>
      <c r="X68" s="1249">
        <f t="shared" si="31"/>
        <v>8.2805443243048754E-2</v>
      </c>
      <c r="Y68" s="1249">
        <f t="shared" si="31"/>
        <v>0</v>
      </c>
      <c r="Z68" s="1249">
        <f t="shared" si="31"/>
        <v>0</v>
      </c>
      <c r="AA68" s="1249">
        <f t="shared" si="31"/>
        <v>0</v>
      </c>
      <c r="AB68" s="1249">
        <f t="shared" si="31"/>
        <v>0.32374083382262742</v>
      </c>
      <c r="AC68" s="1282">
        <f t="shared" si="26"/>
        <v>0.99999999999999989</v>
      </c>
    </row>
    <row r="69" spans="1:29">
      <c r="A69" s="187">
        <f t="shared" si="20"/>
        <v>1969</v>
      </c>
      <c r="B69" s="1655">
        <v>9.5539007199999997</v>
      </c>
      <c r="C69" s="528">
        <v>956.10601604260387</v>
      </c>
      <c r="D69" s="1577">
        <v>0</v>
      </c>
      <c r="E69" s="1578">
        <v>0</v>
      </c>
      <c r="F69" s="186">
        <f t="shared" si="27"/>
        <v>0.71479999999999999</v>
      </c>
      <c r="G69" s="186">
        <f t="shared" si="28"/>
        <v>0.28959999999999997</v>
      </c>
      <c r="H69" s="478">
        <v>0</v>
      </c>
      <c r="I69" s="1292">
        <f t="shared" si="21"/>
        <v>578.73</v>
      </c>
      <c r="J69" s="1293">
        <f t="shared" si="22"/>
        <v>28.06789123869763</v>
      </c>
      <c r="K69" s="1294">
        <f t="shared" si="15"/>
        <v>5529.1289636856</v>
      </c>
      <c r="L69" s="1294">
        <f t="shared" si="23"/>
        <v>26835.879670948296</v>
      </c>
      <c r="M69" s="1295">
        <f t="shared" si="16"/>
        <v>26835.879670948296</v>
      </c>
      <c r="N69" s="1249">
        <f t="shared" si="30"/>
        <v>0.19892488097366726</v>
      </c>
      <c r="O69" s="1249">
        <f t="shared" si="30"/>
        <v>0.26585903447659598</v>
      </c>
      <c r="P69" s="1249">
        <f t="shared" si="30"/>
        <v>8.9228108703258049E-2</v>
      </c>
      <c r="Q69" s="1249">
        <f t="shared" si="30"/>
        <v>0</v>
      </c>
      <c r="R69" s="1249">
        <f t="shared" si="30"/>
        <v>0</v>
      </c>
      <c r="S69" s="1249">
        <f t="shared" si="30"/>
        <v>0</v>
      </c>
      <c r="T69" s="1249">
        <f t="shared" si="30"/>
        <v>0.4459879758464787</v>
      </c>
      <c r="U69" s="1282">
        <f t="shared" si="18"/>
        <v>1</v>
      </c>
      <c r="V69" s="1283">
        <f t="shared" si="31"/>
        <v>0.29028184578274857</v>
      </c>
      <c r="W69" s="1249">
        <f t="shared" si="31"/>
        <v>0.30317187715157518</v>
      </c>
      <c r="X69" s="1249">
        <f t="shared" si="31"/>
        <v>8.2805443243048754E-2</v>
      </c>
      <c r="Y69" s="1249">
        <f t="shared" si="31"/>
        <v>0</v>
      </c>
      <c r="Z69" s="1249">
        <f t="shared" si="31"/>
        <v>0</v>
      </c>
      <c r="AA69" s="1249">
        <f t="shared" si="31"/>
        <v>0</v>
      </c>
      <c r="AB69" s="1249">
        <f t="shared" si="31"/>
        <v>0.32374083382262742</v>
      </c>
      <c r="AC69" s="1282">
        <f t="shared" si="26"/>
        <v>0.99999999999999989</v>
      </c>
    </row>
    <row r="70" spans="1:29">
      <c r="A70" s="187">
        <f t="shared" si="20"/>
        <v>1970</v>
      </c>
      <c r="B70" s="1655">
        <v>9.8288735999999997</v>
      </c>
      <c r="C70" s="528">
        <v>1006.2889052098111</v>
      </c>
      <c r="D70" s="1577">
        <v>0</v>
      </c>
      <c r="E70" s="1578">
        <v>0</v>
      </c>
      <c r="F70" s="186">
        <f t="shared" si="27"/>
        <v>0.71479999999999999</v>
      </c>
      <c r="G70" s="186">
        <f t="shared" si="28"/>
        <v>0.28959999999999997</v>
      </c>
      <c r="H70" s="478">
        <v>0</v>
      </c>
      <c r="I70" s="1292">
        <f t="shared" si="21"/>
        <v>578.73</v>
      </c>
      <c r="J70" s="1293">
        <f t="shared" si="22"/>
        <v>28.06789123869763</v>
      </c>
      <c r="K70" s="1294">
        <f t="shared" si="15"/>
        <v>5688.2640185279997</v>
      </c>
      <c r="L70" s="1294">
        <f t="shared" si="23"/>
        <v>28244.407546137089</v>
      </c>
      <c r="M70" s="1295">
        <f t="shared" si="16"/>
        <v>28244.407546137089</v>
      </c>
      <c r="N70" s="1249">
        <f t="shared" si="30"/>
        <v>0.19892488097366726</v>
      </c>
      <c r="O70" s="1249">
        <f t="shared" si="30"/>
        <v>0.26585903447659598</v>
      </c>
      <c r="P70" s="1249">
        <f t="shared" si="30"/>
        <v>8.9228108703258049E-2</v>
      </c>
      <c r="Q70" s="1249">
        <f t="shared" si="30"/>
        <v>0</v>
      </c>
      <c r="R70" s="1249">
        <f t="shared" si="30"/>
        <v>0</v>
      </c>
      <c r="S70" s="1249">
        <f t="shared" si="30"/>
        <v>0</v>
      </c>
      <c r="T70" s="1249">
        <f t="shared" si="30"/>
        <v>0.4459879758464787</v>
      </c>
      <c r="U70" s="1282">
        <f t="shared" si="18"/>
        <v>1</v>
      </c>
      <c r="V70" s="1283">
        <f t="shared" si="31"/>
        <v>0.29028184578274857</v>
      </c>
      <c r="W70" s="1249">
        <f t="shared" si="31"/>
        <v>0.30317187715157518</v>
      </c>
      <c r="X70" s="1249">
        <f t="shared" si="31"/>
        <v>8.2805443243048754E-2</v>
      </c>
      <c r="Y70" s="1249">
        <f t="shared" si="31"/>
        <v>0</v>
      </c>
      <c r="Z70" s="1249">
        <f t="shared" si="31"/>
        <v>0</v>
      </c>
      <c r="AA70" s="1249">
        <f t="shared" si="31"/>
        <v>0</v>
      </c>
      <c r="AB70" s="1249">
        <f t="shared" si="31"/>
        <v>0.32374083382262742</v>
      </c>
      <c r="AC70" s="1282">
        <f t="shared" si="26"/>
        <v>0.99999999999999989</v>
      </c>
    </row>
    <row r="71" spans="1:29">
      <c r="A71" s="187">
        <f t="shared" si="20"/>
        <v>1971</v>
      </c>
      <c r="B71" s="1655">
        <v>20.567820000000001</v>
      </c>
      <c r="C71" s="528">
        <v>1049.3477098940468</v>
      </c>
      <c r="D71" s="1577">
        <v>0</v>
      </c>
      <c r="E71" s="1578">
        <v>0</v>
      </c>
      <c r="F71" s="186">
        <f t="shared" si="27"/>
        <v>0.71479999999999999</v>
      </c>
      <c r="G71" s="186">
        <f t="shared" si="28"/>
        <v>0.28959999999999997</v>
      </c>
      <c r="H71" s="478">
        <v>0</v>
      </c>
      <c r="I71" s="1292">
        <f t="shared" si="21"/>
        <v>578.73</v>
      </c>
      <c r="J71" s="1293">
        <f t="shared" si="22"/>
        <v>28.06789123869763</v>
      </c>
      <c r="K71" s="1294">
        <f t="shared" si="15"/>
        <v>11903.214468600001</v>
      </c>
      <c r="L71" s="1294">
        <f t="shared" si="23"/>
        <v>29452.977392882538</v>
      </c>
      <c r="M71" s="1295">
        <f t="shared" si="16"/>
        <v>29452.977392882538</v>
      </c>
      <c r="N71" s="1249">
        <f t="shared" si="30"/>
        <v>0.19892488097366726</v>
      </c>
      <c r="O71" s="1249">
        <f t="shared" si="30"/>
        <v>0.26585903447659598</v>
      </c>
      <c r="P71" s="1249">
        <f t="shared" si="30"/>
        <v>8.9228108703258049E-2</v>
      </c>
      <c r="Q71" s="1249">
        <f t="shared" si="30"/>
        <v>0</v>
      </c>
      <c r="R71" s="1249">
        <f t="shared" si="30"/>
        <v>0</v>
      </c>
      <c r="S71" s="1249">
        <f t="shared" si="30"/>
        <v>0</v>
      </c>
      <c r="T71" s="1249">
        <f t="shared" si="30"/>
        <v>0.4459879758464787</v>
      </c>
      <c r="U71" s="1282">
        <f t="shared" si="18"/>
        <v>1</v>
      </c>
      <c r="V71" s="1283">
        <f t="shared" si="31"/>
        <v>0.29028184578274857</v>
      </c>
      <c r="W71" s="1249">
        <f t="shared" si="31"/>
        <v>0.30317187715157518</v>
      </c>
      <c r="X71" s="1249">
        <f t="shared" si="31"/>
        <v>8.2805443243048754E-2</v>
      </c>
      <c r="Y71" s="1249">
        <f t="shared" si="31"/>
        <v>0</v>
      </c>
      <c r="Z71" s="1249">
        <f t="shared" si="31"/>
        <v>0</v>
      </c>
      <c r="AA71" s="1249">
        <f t="shared" si="31"/>
        <v>0</v>
      </c>
      <c r="AB71" s="1249">
        <f t="shared" si="31"/>
        <v>0.32374083382262742</v>
      </c>
      <c r="AC71" s="1282">
        <f t="shared" si="26"/>
        <v>0.99999999999999989</v>
      </c>
    </row>
    <row r="72" spans="1:29">
      <c r="A72" s="187">
        <f t="shared" si="20"/>
        <v>1972</v>
      </c>
      <c r="B72" s="1655">
        <v>21.04466</v>
      </c>
      <c r="C72" s="528">
        <v>1066.7119174754762</v>
      </c>
      <c r="D72" s="1577">
        <v>0</v>
      </c>
      <c r="E72" s="1578">
        <v>0</v>
      </c>
      <c r="F72" s="186">
        <f t="shared" si="27"/>
        <v>0.71479999999999999</v>
      </c>
      <c r="G72" s="186">
        <f t="shared" si="28"/>
        <v>0.28959999999999997</v>
      </c>
      <c r="H72" s="478">
        <v>0</v>
      </c>
      <c r="I72" s="1292">
        <f t="shared" si="21"/>
        <v>578.73</v>
      </c>
      <c r="J72" s="1293">
        <f t="shared" si="22"/>
        <v>28.06789123869763</v>
      </c>
      <c r="K72" s="1294">
        <f t="shared" si="15"/>
        <v>12179.1760818</v>
      </c>
      <c r="L72" s="1294">
        <f t="shared" si="23"/>
        <v>29940.354082724269</v>
      </c>
      <c r="M72" s="1295">
        <f t="shared" si="16"/>
        <v>29940.354082724269</v>
      </c>
      <c r="N72" s="1249">
        <f t="shared" si="30"/>
        <v>0.19892488097366726</v>
      </c>
      <c r="O72" s="1249">
        <f t="shared" si="30"/>
        <v>0.26585903447659598</v>
      </c>
      <c r="P72" s="1249">
        <f t="shared" si="30"/>
        <v>8.9228108703258049E-2</v>
      </c>
      <c r="Q72" s="1249">
        <f t="shared" si="30"/>
        <v>0</v>
      </c>
      <c r="R72" s="1249">
        <f t="shared" si="30"/>
        <v>0</v>
      </c>
      <c r="S72" s="1249">
        <f t="shared" si="30"/>
        <v>0</v>
      </c>
      <c r="T72" s="1249">
        <f t="shared" si="30"/>
        <v>0.4459879758464787</v>
      </c>
      <c r="U72" s="1282">
        <f t="shared" si="18"/>
        <v>1</v>
      </c>
      <c r="V72" s="1283">
        <f t="shared" si="31"/>
        <v>0.29028184578274857</v>
      </c>
      <c r="W72" s="1249">
        <f t="shared" si="31"/>
        <v>0.30317187715157518</v>
      </c>
      <c r="X72" s="1249">
        <f t="shared" si="31"/>
        <v>8.2805443243048754E-2</v>
      </c>
      <c r="Y72" s="1249">
        <f t="shared" si="31"/>
        <v>0</v>
      </c>
      <c r="Z72" s="1249">
        <f t="shared" si="31"/>
        <v>0</v>
      </c>
      <c r="AA72" s="1249">
        <f t="shared" si="31"/>
        <v>0</v>
      </c>
      <c r="AB72" s="1249">
        <f t="shared" si="31"/>
        <v>0.32374083382262742</v>
      </c>
      <c r="AC72" s="1282">
        <f t="shared" si="26"/>
        <v>0.99999999999999989</v>
      </c>
    </row>
    <row r="73" spans="1:29">
      <c r="A73" s="187">
        <f t="shared" si="20"/>
        <v>1973</v>
      </c>
      <c r="B73" s="1655">
        <v>21.526959999999999</v>
      </c>
      <c r="C73" s="528">
        <v>1115.481962992131</v>
      </c>
      <c r="D73" s="1577">
        <v>0</v>
      </c>
      <c r="E73" s="1578">
        <v>0</v>
      </c>
      <c r="F73" s="186">
        <f t="shared" si="27"/>
        <v>0.71479999999999999</v>
      </c>
      <c r="G73" s="186">
        <f t="shared" si="28"/>
        <v>0.28959999999999997</v>
      </c>
      <c r="H73" s="478">
        <v>0</v>
      </c>
      <c r="I73" s="1292">
        <f t="shared" si="21"/>
        <v>578.73</v>
      </c>
      <c r="J73" s="1293">
        <f t="shared" si="22"/>
        <v>28.06789123869763</v>
      </c>
      <c r="K73" s="1294">
        <f t="shared" si="15"/>
        <v>12458.2975608</v>
      </c>
      <c r="L73" s="1294">
        <f t="shared" si="23"/>
        <v>31309.226415992067</v>
      </c>
      <c r="M73" s="1295">
        <f t="shared" si="16"/>
        <v>31309.226415992067</v>
      </c>
      <c r="N73" s="1249">
        <f t="shared" si="30"/>
        <v>0.19892488097366726</v>
      </c>
      <c r="O73" s="1249">
        <f t="shared" si="30"/>
        <v>0.26585903447659598</v>
      </c>
      <c r="P73" s="1249">
        <f t="shared" si="30"/>
        <v>8.9228108703258049E-2</v>
      </c>
      <c r="Q73" s="1249">
        <f t="shared" si="30"/>
        <v>0</v>
      </c>
      <c r="R73" s="1249">
        <f t="shared" si="30"/>
        <v>0</v>
      </c>
      <c r="S73" s="1249">
        <f t="shared" si="30"/>
        <v>0</v>
      </c>
      <c r="T73" s="1249">
        <f t="shared" si="30"/>
        <v>0.4459879758464787</v>
      </c>
      <c r="U73" s="1282">
        <f t="shared" si="18"/>
        <v>1</v>
      </c>
      <c r="V73" s="1283">
        <f t="shared" si="31"/>
        <v>0.29028184578274857</v>
      </c>
      <c r="W73" s="1249">
        <f t="shared" si="31"/>
        <v>0.30317187715157518</v>
      </c>
      <c r="X73" s="1249">
        <f t="shared" si="31"/>
        <v>8.2805443243048754E-2</v>
      </c>
      <c r="Y73" s="1249">
        <f t="shared" si="31"/>
        <v>0</v>
      </c>
      <c r="Z73" s="1249">
        <f t="shared" si="31"/>
        <v>0</v>
      </c>
      <c r="AA73" s="1249">
        <f t="shared" si="31"/>
        <v>0</v>
      </c>
      <c r="AB73" s="1249">
        <f t="shared" si="31"/>
        <v>0.32374083382262742</v>
      </c>
      <c r="AC73" s="1282">
        <f t="shared" si="26"/>
        <v>0.99999999999999989</v>
      </c>
    </row>
    <row r="74" spans="1:29">
      <c r="A74" s="187">
        <f t="shared" si="20"/>
        <v>1974</v>
      </c>
      <c r="B74" s="1655">
        <v>22.012900000000002</v>
      </c>
      <c r="C74" s="528">
        <v>1183.6496732532121</v>
      </c>
      <c r="D74" s="1577">
        <v>0</v>
      </c>
      <c r="E74" s="1578">
        <v>0</v>
      </c>
      <c r="F74" s="186">
        <f t="shared" si="27"/>
        <v>0.71479999999999999</v>
      </c>
      <c r="G74" s="186">
        <f t="shared" si="28"/>
        <v>0.28959999999999997</v>
      </c>
      <c r="H74" s="478">
        <v>0</v>
      </c>
      <c r="I74" s="1292">
        <f t="shared" si="21"/>
        <v>578.73</v>
      </c>
      <c r="J74" s="1293">
        <f t="shared" si="22"/>
        <v>28.06789123869763</v>
      </c>
      <c r="K74" s="1294">
        <f t="shared" si="15"/>
        <v>12739.525617000001</v>
      </c>
      <c r="L74" s="1294">
        <f t="shared" si="23"/>
        <v>33222.550293591143</v>
      </c>
      <c r="M74" s="1295">
        <f t="shared" si="16"/>
        <v>33222.550293591143</v>
      </c>
      <c r="N74" s="1249">
        <f t="shared" si="30"/>
        <v>0.19892488097366726</v>
      </c>
      <c r="O74" s="1249">
        <f t="shared" si="30"/>
        <v>0.26585903447659598</v>
      </c>
      <c r="P74" s="1249">
        <f t="shared" si="30"/>
        <v>8.9228108703258049E-2</v>
      </c>
      <c r="Q74" s="1249">
        <f t="shared" si="30"/>
        <v>0</v>
      </c>
      <c r="R74" s="1249">
        <f t="shared" si="30"/>
        <v>0</v>
      </c>
      <c r="S74" s="1249">
        <f t="shared" si="30"/>
        <v>0</v>
      </c>
      <c r="T74" s="1249">
        <f t="shared" si="30"/>
        <v>0.4459879758464787</v>
      </c>
      <c r="U74" s="1282">
        <f t="shared" si="18"/>
        <v>1</v>
      </c>
      <c r="V74" s="1283">
        <f t="shared" si="31"/>
        <v>0.29028184578274857</v>
      </c>
      <c r="W74" s="1249">
        <f t="shared" si="31"/>
        <v>0.30317187715157518</v>
      </c>
      <c r="X74" s="1249">
        <f t="shared" si="31"/>
        <v>8.2805443243048754E-2</v>
      </c>
      <c r="Y74" s="1249">
        <f t="shared" si="31"/>
        <v>0</v>
      </c>
      <c r="Z74" s="1249">
        <f t="shared" si="31"/>
        <v>0</v>
      </c>
      <c r="AA74" s="1249">
        <f t="shared" si="31"/>
        <v>0</v>
      </c>
      <c r="AB74" s="1249">
        <f t="shared" si="31"/>
        <v>0.32374083382262742</v>
      </c>
      <c r="AC74" s="1282">
        <f t="shared" si="26"/>
        <v>0.99999999999999989</v>
      </c>
    </row>
    <row r="75" spans="1:29">
      <c r="A75" s="187">
        <f t="shared" si="20"/>
        <v>1975</v>
      </c>
      <c r="B75" s="1655">
        <v>22.502480000000002</v>
      </c>
      <c r="C75" s="528">
        <v>1203.7178400604503</v>
      </c>
      <c r="D75" s="1577">
        <v>0</v>
      </c>
      <c r="E75" s="1578">
        <v>0</v>
      </c>
      <c r="F75" s="186">
        <f t="shared" si="27"/>
        <v>0.71479999999999999</v>
      </c>
      <c r="G75" s="186">
        <f t="shared" si="28"/>
        <v>0.28959999999999997</v>
      </c>
      <c r="H75" s="478">
        <v>0</v>
      </c>
      <c r="I75" s="1292">
        <f t="shared" si="21"/>
        <v>578.73</v>
      </c>
      <c r="J75" s="1293">
        <f t="shared" si="22"/>
        <v>28.06789123869763</v>
      </c>
      <c r="K75" s="1294">
        <f t="shared" si="15"/>
        <v>13022.860250400001</v>
      </c>
      <c r="L75" s="1294">
        <f t="shared" si="23"/>
        <v>33785.821416896746</v>
      </c>
      <c r="M75" s="1295">
        <f t="shared" si="16"/>
        <v>33785.821416896746</v>
      </c>
      <c r="N75" s="1249">
        <f t="shared" si="30"/>
        <v>0.19892488097366726</v>
      </c>
      <c r="O75" s="1249">
        <f t="shared" si="30"/>
        <v>0.26585903447659598</v>
      </c>
      <c r="P75" s="1249">
        <f t="shared" si="30"/>
        <v>8.9228108703258049E-2</v>
      </c>
      <c r="Q75" s="1249">
        <f t="shared" si="30"/>
        <v>0</v>
      </c>
      <c r="R75" s="1249">
        <f t="shared" si="30"/>
        <v>0</v>
      </c>
      <c r="S75" s="1249">
        <f t="shared" si="30"/>
        <v>0</v>
      </c>
      <c r="T75" s="1249">
        <f t="shared" si="30"/>
        <v>0.4459879758464787</v>
      </c>
      <c r="U75" s="1282">
        <f t="shared" si="18"/>
        <v>1</v>
      </c>
      <c r="V75" s="1283">
        <f t="shared" si="31"/>
        <v>0.29028184578274857</v>
      </c>
      <c r="W75" s="1249">
        <f t="shared" si="31"/>
        <v>0.30317187715157518</v>
      </c>
      <c r="X75" s="1249">
        <f t="shared" si="31"/>
        <v>8.2805443243048754E-2</v>
      </c>
      <c r="Y75" s="1249">
        <f t="shared" si="31"/>
        <v>0</v>
      </c>
      <c r="Z75" s="1249">
        <f t="shared" si="31"/>
        <v>0</v>
      </c>
      <c r="AA75" s="1249">
        <f t="shared" si="31"/>
        <v>0</v>
      </c>
      <c r="AB75" s="1249">
        <f t="shared" si="31"/>
        <v>0.32374083382262742</v>
      </c>
      <c r="AC75" s="1282">
        <f t="shared" si="26"/>
        <v>0.99999999999999989</v>
      </c>
    </row>
    <row r="76" spans="1:29">
      <c r="A76" s="187">
        <f t="shared" si="20"/>
        <v>1976</v>
      </c>
      <c r="B76" s="1655">
        <v>22.993880000000001</v>
      </c>
      <c r="C76" s="528">
        <v>1230.8003365426916</v>
      </c>
      <c r="D76" s="1577">
        <v>0</v>
      </c>
      <c r="E76" s="1578">
        <v>0</v>
      </c>
      <c r="F76" s="186">
        <f t="shared" si="27"/>
        <v>0.71479999999999999</v>
      </c>
      <c r="G76" s="186">
        <f t="shared" si="28"/>
        <v>0.28959999999999997</v>
      </c>
      <c r="H76" s="478">
        <v>0</v>
      </c>
      <c r="I76" s="1292">
        <f t="shared" si="21"/>
        <v>578.73</v>
      </c>
      <c r="J76" s="1293">
        <f t="shared" si="22"/>
        <v>28.06789123869763</v>
      </c>
      <c r="K76" s="1294">
        <f t="shared" si="15"/>
        <v>13307.248172400001</v>
      </c>
      <c r="L76" s="1294">
        <f t="shared" si="23"/>
        <v>34545.969982632712</v>
      </c>
      <c r="M76" s="1295">
        <f t="shared" si="16"/>
        <v>34545.969982632712</v>
      </c>
      <c r="N76" s="1249">
        <f t="shared" si="30"/>
        <v>0.19892488097366726</v>
      </c>
      <c r="O76" s="1249">
        <f t="shared" si="30"/>
        <v>0.26585903447659598</v>
      </c>
      <c r="P76" s="1249">
        <f t="shared" si="30"/>
        <v>8.9228108703258049E-2</v>
      </c>
      <c r="Q76" s="1249">
        <f t="shared" si="30"/>
        <v>0</v>
      </c>
      <c r="R76" s="1249">
        <f t="shared" si="30"/>
        <v>0</v>
      </c>
      <c r="S76" s="1249">
        <f t="shared" si="30"/>
        <v>0</v>
      </c>
      <c r="T76" s="1249">
        <f t="shared" si="30"/>
        <v>0.4459879758464787</v>
      </c>
      <c r="U76" s="1282">
        <f t="shared" si="18"/>
        <v>1</v>
      </c>
      <c r="V76" s="1283">
        <f t="shared" si="31"/>
        <v>0.29028184578274857</v>
      </c>
      <c r="W76" s="1249">
        <f t="shared" si="31"/>
        <v>0.30317187715157518</v>
      </c>
      <c r="X76" s="1249">
        <f t="shared" si="31"/>
        <v>8.2805443243048754E-2</v>
      </c>
      <c r="Y76" s="1249">
        <f t="shared" si="31"/>
        <v>0</v>
      </c>
      <c r="Z76" s="1249">
        <f t="shared" si="31"/>
        <v>0</v>
      </c>
      <c r="AA76" s="1249">
        <f t="shared" si="31"/>
        <v>0</v>
      </c>
      <c r="AB76" s="1249">
        <f t="shared" si="31"/>
        <v>0.32374083382262742</v>
      </c>
      <c r="AC76" s="1282">
        <f t="shared" si="26"/>
        <v>0.99999999999999989</v>
      </c>
    </row>
    <row r="77" spans="1:29">
      <c r="A77" s="187">
        <f t="shared" si="20"/>
        <v>1977</v>
      </c>
      <c r="B77" s="1655">
        <v>23.483460000000001</v>
      </c>
      <c r="C77" s="528">
        <v>1229.6429222577431</v>
      </c>
      <c r="D77" s="1577">
        <v>0</v>
      </c>
      <c r="E77" s="1578">
        <v>0</v>
      </c>
      <c r="F77" s="186">
        <f t="shared" si="27"/>
        <v>0.71479999999999999</v>
      </c>
      <c r="G77" s="186">
        <f t="shared" si="28"/>
        <v>0.28959999999999997</v>
      </c>
      <c r="H77" s="478">
        <v>0</v>
      </c>
      <c r="I77" s="1292">
        <f t="shared" si="21"/>
        <v>578.73</v>
      </c>
      <c r="J77" s="1293">
        <f t="shared" si="22"/>
        <v>28.06789123869763</v>
      </c>
      <c r="K77" s="1294">
        <f t="shared" si="15"/>
        <v>13590.582805800001</v>
      </c>
      <c r="L77" s="1294">
        <f t="shared" si="23"/>
        <v>34513.48380436466</v>
      </c>
      <c r="M77" s="1295">
        <f t="shared" si="16"/>
        <v>34513.48380436466</v>
      </c>
      <c r="N77" s="1249">
        <f t="shared" si="30"/>
        <v>0.19892488097366726</v>
      </c>
      <c r="O77" s="1249">
        <f t="shared" si="30"/>
        <v>0.26585903447659598</v>
      </c>
      <c r="P77" s="1249">
        <f t="shared" si="30"/>
        <v>8.9228108703258049E-2</v>
      </c>
      <c r="Q77" s="1249">
        <f t="shared" si="30"/>
        <v>0</v>
      </c>
      <c r="R77" s="1249">
        <f t="shared" si="30"/>
        <v>0</v>
      </c>
      <c r="S77" s="1249">
        <f t="shared" si="30"/>
        <v>0</v>
      </c>
      <c r="T77" s="1249">
        <f t="shared" si="30"/>
        <v>0.4459879758464787</v>
      </c>
      <c r="U77" s="1282">
        <f t="shared" si="18"/>
        <v>1</v>
      </c>
      <c r="V77" s="1283">
        <f t="shared" si="31"/>
        <v>0.29028184578274857</v>
      </c>
      <c r="W77" s="1249">
        <f t="shared" si="31"/>
        <v>0.30317187715157518</v>
      </c>
      <c r="X77" s="1249">
        <f t="shared" si="31"/>
        <v>8.2805443243048754E-2</v>
      </c>
      <c r="Y77" s="1249">
        <f t="shared" si="31"/>
        <v>0</v>
      </c>
      <c r="Z77" s="1249">
        <f t="shared" si="31"/>
        <v>0</v>
      </c>
      <c r="AA77" s="1249">
        <f t="shared" si="31"/>
        <v>0</v>
      </c>
      <c r="AB77" s="1249">
        <f t="shared" si="31"/>
        <v>0.32374083382262742</v>
      </c>
      <c r="AC77" s="1282">
        <f t="shared" si="26"/>
        <v>0.99999999999999989</v>
      </c>
    </row>
    <row r="78" spans="1:29">
      <c r="A78" s="187">
        <f t="shared" si="20"/>
        <v>1978</v>
      </c>
      <c r="B78" s="1655">
        <v>23.983049999999999</v>
      </c>
      <c r="C78" s="528">
        <v>1266.711110256156</v>
      </c>
      <c r="D78" s="1577">
        <v>0</v>
      </c>
      <c r="E78" s="1578">
        <v>0</v>
      </c>
      <c r="F78" s="186">
        <f t="shared" si="27"/>
        <v>0.71479999999999999</v>
      </c>
      <c r="G78" s="186">
        <f t="shared" si="28"/>
        <v>0.28959999999999997</v>
      </c>
      <c r="H78" s="478">
        <v>0</v>
      </c>
      <c r="I78" s="1292">
        <f t="shared" si="21"/>
        <v>578.73</v>
      </c>
      <c r="J78" s="1293">
        <f t="shared" si="22"/>
        <v>28.06789123869763</v>
      </c>
      <c r="K78" s="1294">
        <f t="shared" si="15"/>
        <v>13879.710526499999</v>
      </c>
      <c r="L78" s="1294">
        <f t="shared" si="23"/>
        <v>35553.909673519709</v>
      </c>
      <c r="M78" s="1295">
        <f t="shared" si="16"/>
        <v>35553.909673519709</v>
      </c>
      <c r="N78" s="1249">
        <f t="shared" si="30"/>
        <v>0.19892488097366726</v>
      </c>
      <c r="O78" s="1249">
        <f t="shared" si="30"/>
        <v>0.26585903447659598</v>
      </c>
      <c r="P78" s="1249">
        <f t="shared" si="30"/>
        <v>8.9228108703258049E-2</v>
      </c>
      <c r="Q78" s="1249">
        <f t="shared" si="30"/>
        <v>0</v>
      </c>
      <c r="R78" s="1249">
        <f t="shared" si="30"/>
        <v>0</v>
      </c>
      <c r="S78" s="1249">
        <f t="shared" si="30"/>
        <v>0</v>
      </c>
      <c r="T78" s="1249">
        <f t="shared" si="30"/>
        <v>0.4459879758464787</v>
      </c>
      <c r="U78" s="1282">
        <f t="shared" si="18"/>
        <v>1</v>
      </c>
      <c r="V78" s="1283">
        <f t="shared" si="31"/>
        <v>0.29028184578274857</v>
      </c>
      <c r="W78" s="1249">
        <f t="shared" si="31"/>
        <v>0.30317187715157518</v>
      </c>
      <c r="X78" s="1249">
        <f t="shared" si="31"/>
        <v>8.2805443243048754E-2</v>
      </c>
      <c r="Y78" s="1249">
        <f t="shared" si="31"/>
        <v>0</v>
      </c>
      <c r="Z78" s="1249">
        <f t="shared" si="31"/>
        <v>0</v>
      </c>
      <c r="AA78" s="1249">
        <f t="shared" si="31"/>
        <v>0</v>
      </c>
      <c r="AB78" s="1249">
        <f t="shared" si="31"/>
        <v>0.32374083382262742</v>
      </c>
      <c r="AC78" s="1282">
        <f t="shared" si="26"/>
        <v>0.99999999999999989</v>
      </c>
    </row>
    <row r="79" spans="1:29">
      <c r="A79" s="187">
        <f t="shared" si="20"/>
        <v>1979</v>
      </c>
      <c r="B79" s="1655">
        <v>24.516309999999997</v>
      </c>
      <c r="C79" s="528">
        <v>1314.725843177443</v>
      </c>
      <c r="D79" s="1577">
        <v>0</v>
      </c>
      <c r="E79" s="1578">
        <v>0</v>
      </c>
      <c r="F79" s="186">
        <f t="shared" si="27"/>
        <v>0.71479999999999999</v>
      </c>
      <c r="G79" s="186">
        <f t="shared" si="28"/>
        <v>0.28959999999999997</v>
      </c>
      <c r="H79" s="478">
        <v>0</v>
      </c>
      <c r="I79" s="1292">
        <f t="shared" si="21"/>
        <v>578.73</v>
      </c>
      <c r="J79" s="1293">
        <f t="shared" si="22"/>
        <v>28.06789123869763</v>
      </c>
      <c r="K79" s="1294">
        <f t="shared" si="15"/>
        <v>14188.324086299999</v>
      </c>
      <c r="L79" s="1294">
        <f t="shared" si="23"/>
        <v>36901.581975009511</v>
      </c>
      <c r="M79" s="1295">
        <f t="shared" si="16"/>
        <v>36901.581975009511</v>
      </c>
      <c r="N79" s="1249">
        <f t="shared" si="30"/>
        <v>0.19892488097366726</v>
      </c>
      <c r="O79" s="1249">
        <f t="shared" si="30"/>
        <v>0.26585903447659598</v>
      </c>
      <c r="P79" s="1249">
        <f t="shared" si="30"/>
        <v>8.9228108703258049E-2</v>
      </c>
      <c r="Q79" s="1249">
        <f t="shared" si="30"/>
        <v>0</v>
      </c>
      <c r="R79" s="1249">
        <f t="shared" si="30"/>
        <v>0</v>
      </c>
      <c r="S79" s="1249">
        <f t="shared" si="30"/>
        <v>0</v>
      </c>
      <c r="T79" s="1249">
        <f t="shared" si="30"/>
        <v>0.4459879758464787</v>
      </c>
      <c r="U79" s="1282">
        <f t="shared" si="18"/>
        <v>1</v>
      </c>
      <c r="V79" s="1283">
        <f t="shared" si="31"/>
        <v>0.29028184578274857</v>
      </c>
      <c r="W79" s="1249">
        <f t="shared" si="31"/>
        <v>0.30317187715157518</v>
      </c>
      <c r="X79" s="1249">
        <f t="shared" si="31"/>
        <v>8.2805443243048754E-2</v>
      </c>
      <c r="Y79" s="1249">
        <f t="shared" si="31"/>
        <v>0</v>
      </c>
      <c r="Z79" s="1249">
        <f t="shared" si="31"/>
        <v>0</v>
      </c>
      <c r="AA79" s="1249">
        <f t="shared" si="31"/>
        <v>0</v>
      </c>
      <c r="AB79" s="1249">
        <f t="shared" si="31"/>
        <v>0.32374083382262742</v>
      </c>
      <c r="AC79" s="1282">
        <f t="shared" si="26"/>
        <v>0.99999999999999989</v>
      </c>
    </row>
    <row r="80" spans="1:29">
      <c r="A80" s="187">
        <f t="shared" si="20"/>
        <v>1980</v>
      </c>
      <c r="B80" s="1655">
        <v>25.094160000000002</v>
      </c>
      <c r="C80" s="528">
        <v>1401.7683862069005</v>
      </c>
      <c r="D80" s="1577">
        <v>0</v>
      </c>
      <c r="E80" s="1578">
        <v>0</v>
      </c>
      <c r="F80" s="186">
        <f t="shared" si="27"/>
        <v>0.71479999999999999</v>
      </c>
      <c r="G80" s="186">
        <f t="shared" si="28"/>
        <v>0.28959999999999997</v>
      </c>
      <c r="H80" s="478">
        <v>0</v>
      </c>
      <c r="I80" s="1292">
        <f t="shared" si="21"/>
        <v>578.73</v>
      </c>
      <c r="J80" s="1293">
        <f t="shared" si="22"/>
        <v>28.06789123869763</v>
      </c>
      <c r="K80" s="1294">
        <f t="shared" si="15"/>
        <v>14522.743216800001</v>
      </c>
      <c r="L80" s="1294">
        <f t="shared" si="23"/>
        <v>39344.68260589998</v>
      </c>
      <c r="M80" s="1295">
        <f t="shared" si="16"/>
        <v>39344.68260589998</v>
      </c>
      <c r="N80" s="1249">
        <f t="shared" si="30"/>
        <v>0.19892488097366726</v>
      </c>
      <c r="O80" s="1249">
        <f t="shared" si="30"/>
        <v>0.26585903447659598</v>
      </c>
      <c r="P80" s="1249">
        <f t="shared" si="30"/>
        <v>8.9228108703258049E-2</v>
      </c>
      <c r="Q80" s="1249">
        <f t="shared" si="30"/>
        <v>0</v>
      </c>
      <c r="R80" s="1249">
        <f t="shared" si="30"/>
        <v>0</v>
      </c>
      <c r="S80" s="1249">
        <f t="shared" si="30"/>
        <v>0</v>
      </c>
      <c r="T80" s="1249">
        <f t="shared" si="30"/>
        <v>0.4459879758464787</v>
      </c>
      <c r="U80" s="1282">
        <f t="shared" si="18"/>
        <v>1</v>
      </c>
      <c r="V80" s="1283">
        <f t="shared" si="31"/>
        <v>0.29028184578274857</v>
      </c>
      <c r="W80" s="1249">
        <f t="shared" si="31"/>
        <v>0.30317187715157518</v>
      </c>
      <c r="X80" s="1249">
        <f t="shared" si="31"/>
        <v>8.2805443243048754E-2</v>
      </c>
      <c r="Y80" s="1249">
        <f t="shared" si="31"/>
        <v>0</v>
      </c>
      <c r="Z80" s="1249">
        <f t="shared" si="31"/>
        <v>0</v>
      </c>
      <c r="AA80" s="1249">
        <f t="shared" si="31"/>
        <v>0</v>
      </c>
      <c r="AB80" s="1249">
        <f t="shared" si="31"/>
        <v>0.32374083382262742</v>
      </c>
      <c r="AC80" s="1282">
        <f t="shared" si="26"/>
        <v>0.99999999999999989</v>
      </c>
    </row>
    <row r="81" spans="1:29">
      <c r="A81" s="187">
        <f t="shared" si="20"/>
        <v>1981</v>
      </c>
      <c r="B81" s="1655">
        <v>25.712049999999998</v>
      </c>
      <c r="C81" s="528">
        <v>1476.9135086140063</v>
      </c>
      <c r="D81" s="1577">
        <v>0</v>
      </c>
      <c r="E81" s="1578">
        <v>0</v>
      </c>
      <c r="F81" s="186">
        <f t="shared" si="27"/>
        <v>0.71479999999999999</v>
      </c>
      <c r="G81" s="186">
        <f t="shared" si="28"/>
        <v>0.28959999999999997</v>
      </c>
      <c r="H81" s="478">
        <v>0</v>
      </c>
      <c r="I81" s="1292">
        <f t="shared" si="21"/>
        <v>578.73</v>
      </c>
      <c r="J81" s="1293">
        <f t="shared" si="22"/>
        <v>28.06789123869763</v>
      </c>
      <c r="K81" s="1294">
        <f t="shared" si="15"/>
        <v>14880.3346965</v>
      </c>
      <c r="L81" s="1294">
        <f t="shared" si="23"/>
        <v>41453.847728741246</v>
      </c>
      <c r="M81" s="1295">
        <f t="shared" si="16"/>
        <v>41453.847728741246</v>
      </c>
      <c r="N81" s="1249">
        <f t="shared" si="30"/>
        <v>0.19892488097366726</v>
      </c>
      <c r="O81" s="1249">
        <f t="shared" si="30"/>
        <v>0.26585903447659598</v>
      </c>
      <c r="P81" s="1249">
        <f t="shared" si="30"/>
        <v>8.9228108703258049E-2</v>
      </c>
      <c r="Q81" s="1249">
        <f t="shared" si="30"/>
        <v>0</v>
      </c>
      <c r="R81" s="1249">
        <f t="shared" si="30"/>
        <v>0</v>
      </c>
      <c r="S81" s="1249">
        <f t="shared" si="30"/>
        <v>0</v>
      </c>
      <c r="T81" s="1249">
        <f t="shared" si="30"/>
        <v>0.4459879758464787</v>
      </c>
      <c r="U81" s="1282">
        <f t="shared" si="18"/>
        <v>1</v>
      </c>
      <c r="V81" s="1283">
        <f t="shared" si="31"/>
        <v>0.29028184578274857</v>
      </c>
      <c r="W81" s="1249">
        <f t="shared" si="31"/>
        <v>0.30317187715157518</v>
      </c>
      <c r="X81" s="1249">
        <f t="shared" si="31"/>
        <v>8.2805443243048754E-2</v>
      </c>
      <c r="Y81" s="1249">
        <f t="shared" si="31"/>
        <v>0</v>
      </c>
      <c r="Z81" s="1249">
        <f t="shared" si="31"/>
        <v>0</v>
      </c>
      <c r="AA81" s="1249">
        <f t="shared" si="31"/>
        <v>0</v>
      </c>
      <c r="AB81" s="1249">
        <f t="shared" si="31"/>
        <v>0.32374083382262742</v>
      </c>
      <c r="AC81" s="1282">
        <f t="shared" si="26"/>
        <v>0.99999999999999989</v>
      </c>
    </row>
    <row r="82" spans="1:29">
      <c r="A82" s="187">
        <f t="shared" si="20"/>
        <v>1982</v>
      </c>
      <c r="B82" s="1655">
        <v>26.364520000000002</v>
      </c>
      <c r="C82" s="528">
        <v>1471.2511585558661</v>
      </c>
      <c r="D82" s="1577">
        <v>0</v>
      </c>
      <c r="E82" s="1578">
        <v>0</v>
      </c>
      <c r="F82" s="186">
        <f t="shared" si="27"/>
        <v>0.71479999999999999</v>
      </c>
      <c r="G82" s="186">
        <f t="shared" si="28"/>
        <v>0.28959999999999997</v>
      </c>
      <c r="H82" s="478">
        <v>0</v>
      </c>
      <c r="I82" s="1292">
        <f t="shared" si="21"/>
        <v>578.73</v>
      </c>
      <c r="J82" s="1293">
        <f t="shared" si="22"/>
        <v>28.06789123869763</v>
      </c>
      <c r="K82" s="1294">
        <f t="shared" si="15"/>
        <v>15257.938659600002</v>
      </c>
      <c r="L82" s="1294">
        <f t="shared" si="23"/>
        <v>41294.917503153934</v>
      </c>
      <c r="M82" s="1295">
        <f t="shared" si="16"/>
        <v>41294.917503153934</v>
      </c>
      <c r="N82" s="1249">
        <f t="shared" si="30"/>
        <v>0.19892488097366726</v>
      </c>
      <c r="O82" s="1249">
        <f t="shared" si="30"/>
        <v>0.26585903447659598</v>
      </c>
      <c r="P82" s="1249">
        <f t="shared" si="30"/>
        <v>8.9228108703258049E-2</v>
      </c>
      <c r="Q82" s="1249">
        <f t="shared" si="30"/>
        <v>0</v>
      </c>
      <c r="R82" s="1249">
        <f t="shared" si="30"/>
        <v>0</v>
      </c>
      <c r="S82" s="1249">
        <f t="shared" si="30"/>
        <v>0</v>
      </c>
      <c r="T82" s="1249">
        <f t="shared" si="30"/>
        <v>0.4459879758464787</v>
      </c>
      <c r="U82" s="1282">
        <f t="shared" ref="U82:U113" si="32">SUM(N82:T82)</f>
        <v>1</v>
      </c>
      <c r="V82" s="1283">
        <f t="shared" si="31"/>
        <v>0.29028184578274857</v>
      </c>
      <c r="W82" s="1249">
        <f t="shared" si="31"/>
        <v>0.30317187715157518</v>
      </c>
      <c r="X82" s="1249">
        <f t="shared" si="31"/>
        <v>8.2805443243048754E-2</v>
      </c>
      <c r="Y82" s="1249">
        <f t="shared" si="31"/>
        <v>0</v>
      </c>
      <c r="Z82" s="1249">
        <f t="shared" si="31"/>
        <v>0</v>
      </c>
      <c r="AA82" s="1249">
        <f t="shared" si="31"/>
        <v>0</v>
      </c>
      <c r="AB82" s="1249">
        <f t="shared" si="31"/>
        <v>0.32374083382262742</v>
      </c>
      <c r="AC82" s="1282">
        <f t="shared" si="26"/>
        <v>0.99999999999999989</v>
      </c>
    </row>
    <row r="83" spans="1:29">
      <c r="A83" s="187">
        <f t="shared" ref="A83:A114" si="33">A82+1</f>
        <v>1983</v>
      </c>
      <c r="B83" s="1655">
        <v>27.048839999999998</v>
      </c>
      <c r="C83" s="528">
        <v>1444.0838515447542</v>
      </c>
      <c r="D83" s="1577">
        <v>0</v>
      </c>
      <c r="E83" s="1578">
        <v>0</v>
      </c>
      <c r="F83" s="186">
        <f t="shared" si="27"/>
        <v>0.71479999999999999</v>
      </c>
      <c r="G83" s="186">
        <f t="shared" si="28"/>
        <v>0.28959999999999997</v>
      </c>
      <c r="H83" s="478">
        <v>0</v>
      </c>
      <c r="I83" s="1292">
        <f t="shared" si="21"/>
        <v>578.73</v>
      </c>
      <c r="J83" s="1293">
        <f t="shared" si="22"/>
        <v>28.06789123869763</v>
      </c>
      <c r="K83" s="1294">
        <f t="shared" si="15"/>
        <v>15653.9751732</v>
      </c>
      <c r="L83" s="1294">
        <f t="shared" si="23"/>
        <v>40532.38848471774</v>
      </c>
      <c r="M83" s="1295">
        <f t="shared" si="16"/>
        <v>40532.38848471774</v>
      </c>
      <c r="N83" s="1249">
        <f t="shared" ref="N83:T98" si="34">N82</f>
        <v>0.19892488097366726</v>
      </c>
      <c r="O83" s="1249">
        <f t="shared" si="34"/>
        <v>0.26585903447659598</v>
      </c>
      <c r="P83" s="1249">
        <f t="shared" si="34"/>
        <v>8.9228108703258049E-2</v>
      </c>
      <c r="Q83" s="1249">
        <f t="shared" si="34"/>
        <v>0</v>
      </c>
      <c r="R83" s="1249">
        <f t="shared" si="34"/>
        <v>0</v>
      </c>
      <c r="S83" s="1249">
        <f t="shared" si="34"/>
        <v>0</v>
      </c>
      <c r="T83" s="1249">
        <f t="shared" si="34"/>
        <v>0.4459879758464787</v>
      </c>
      <c r="U83" s="1282">
        <f t="shared" si="32"/>
        <v>1</v>
      </c>
      <c r="V83" s="1283">
        <f t="shared" si="31"/>
        <v>0.29028184578274857</v>
      </c>
      <c r="W83" s="1249">
        <f t="shared" si="31"/>
        <v>0.30317187715157518</v>
      </c>
      <c r="X83" s="1249">
        <f t="shared" si="31"/>
        <v>8.2805443243048754E-2</v>
      </c>
      <c r="Y83" s="1249">
        <f t="shared" si="31"/>
        <v>0</v>
      </c>
      <c r="Z83" s="1249">
        <f t="shared" si="31"/>
        <v>0</v>
      </c>
      <c r="AA83" s="1249">
        <f t="shared" si="31"/>
        <v>0</v>
      </c>
      <c r="AB83" s="1249">
        <f t="shared" si="31"/>
        <v>0.32374083382262742</v>
      </c>
      <c r="AC83" s="1282">
        <f t="shared" si="26"/>
        <v>0.99999999999999989</v>
      </c>
    </row>
    <row r="84" spans="1:29">
      <c r="A84" s="187">
        <f t="shared" si="33"/>
        <v>1984</v>
      </c>
      <c r="B84" s="1655">
        <v>27.759549999999997</v>
      </c>
      <c r="C84" s="528">
        <v>1517.7193465317748</v>
      </c>
      <c r="D84" s="1577">
        <v>0</v>
      </c>
      <c r="E84" s="1578">
        <v>0</v>
      </c>
      <c r="F84" s="186">
        <f t="shared" si="27"/>
        <v>0.71479999999999999</v>
      </c>
      <c r="G84" s="186">
        <f t="shared" si="28"/>
        <v>0.28959999999999997</v>
      </c>
      <c r="H84" s="478">
        <v>0</v>
      </c>
      <c r="I84" s="1292">
        <f t="shared" si="21"/>
        <v>578.73</v>
      </c>
      <c r="J84" s="1293">
        <f t="shared" si="22"/>
        <v>28.06789123869763</v>
      </c>
      <c r="K84" s="1294">
        <f t="shared" si="15"/>
        <v>16065.284371499998</v>
      </c>
      <c r="L84" s="1294">
        <f t="shared" si="23"/>
        <v>42599.181549321096</v>
      </c>
      <c r="M84" s="1295">
        <f t="shared" si="16"/>
        <v>42599.181549321096</v>
      </c>
      <c r="N84" s="1249">
        <f t="shared" si="34"/>
        <v>0.19892488097366726</v>
      </c>
      <c r="O84" s="1249">
        <f t="shared" si="34"/>
        <v>0.26585903447659598</v>
      </c>
      <c r="P84" s="1249">
        <f t="shared" si="34"/>
        <v>8.9228108703258049E-2</v>
      </c>
      <c r="Q84" s="1249">
        <f t="shared" si="34"/>
        <v>0</v>
      </c>
      <c r="R84" s="1249">
        <f t="shared" si="34"/>
        <v>0</v>
      </c>
      <c r="S84" s="1249">
        <f t="shared" si="34"/>
        <v>0</v>
      </c>
      <c r="T84" s="1249">
        <f t="shared" si="34"/>
        <v>0.4459879758464787</v>
      </c>
      <c r="U84" s="1282">
        <f t="shared" si="32"/>
        <v>1</v>
      </c>
      <c r="V84" s="1283">
        <f t="shared" ref="V84:AB99" si="35">V83</f>
        <v>0.29028184578274857</v>
      </c>
      <c r="W84" s="1249">
        <f t="shared" si="35"/>
        <v>0.30317187715157518</v>
      </c>
      <c r="X84" s="1249">
        <f t="shared" si="35"/>
        <v>8.2805443243048754E-2</v>
      </c>
      <c r="Y84" s="1249">
        <f t="shared" si="35"/>
        <v>0</v>
      </c>
      <c r="Z84" s="1249">
        <f t="shared" si="35"/>
        <v>0</v>
      </c>
      <c r="AA84" s="1249">
        <f t="shared" si="35"/>
        <v>0</v>
      </c>
      <c r="AB84" s="1249">
        <f t="shared" si="35"/>
        <v>0.32374083382262742</v>
      </c>
      <c r="AC84" s="1282">
        <f t="shared" si="26"/>
        <v>0.99999999999999989</v>
      </c>
    </row>
    <row r="85" spans="1:29">
      <c r="A85" s="187">
        <f t="shared" si="33"/>
        <v>1985</v>
      </c>
      <c r="B85" s="1655">
        <v>28.490279999999998</v>
      </c>
      <c r="C85" s="528">
        <v>1499.3324237484292</v>
      </c>
      <c r="D85" s="1577">
        <v>0</v>
      </c>
      <c r="E85" s="1578">
        <v>0</v>
      </c>
      <c r="F85" s="186">
        <f t="shared" si="27"/>
        <v>0.71479999999999999</v>
      </c>
      <c r="G85" s="186">
        <f t="shared" si="28"/>
        <v>0.28959999999999997</v>
      </c>
      <c r="H85" s="478">
        <v>0</v>
      </c>
      <c r="I85" s="1292">
        <f t="shared" si="21"/>
        <v>578.73</v>
      </c>
      <c r="J85" s="1293">
        <f t="shared" si="22"/>
        <v>28.06789123869763</v>
      </c>
      <c r="K85" s="1294">
        <f t="shared" si="15"/>
        <v>16488.1797444</v>
      </c>
      <c r="L85" s="1294">
        <f t="shared" si="23"/>
        <v>42083.099400423816</v>
      </c>
      <c r="M85" s="1295">
        <f t="shared" si="16"/>
        <v>42083.099400423816</v>
      </c>
      <c r="N85" s="1249">
        <f t="shared" si="34"/>
        <v>0.19892488097366726</v>
      </c>
      <c r="O85" s="1249">
        <f t="shared" si="34"/>
        <v>0.26585903447659598</v>
      </c>
      <c r="P85" s="1249">
        <f t="shared" si="34"/>
        <v>8.9228108703258049E-2</v>
      </c>
      <c r="Q85" s="1249">
        <f t="shared" si="34"/>
        <v>0</v>
      </c>
      <c r="R85" s="1249">
        <f t="shared" si="34"/>
        <v>0</v>
      </c>
      <c r="S85" s="1249">
        <f t="shared" si="34"/>
        <v>0</v>
      </c>
      <c r="T85" s="1249">
        <f t="shared" si="34"/>
        <v>0.4459879758464787</v>
      </c>
      <c r="U85" s="1282">
        <f t="shared" si="32"/>
        <v>1</v>
      </c>
      <c r="V85" s="1283">
        <f t="shared" si="35"/>
        <v>0.29028184578274857</v>
      </c>
      <c r="W85" s="1249">
        <f t="shared" si="35"/>
        <v>0.30317187715157518</v>
      </c>
      <c r="X85" s="1249">
        <f t="shared" si="35"/>
        <v>8.2805443243048754E-2</v>
      </c>
      <c r="Y85" s="1249">
        <f t="shared" si="35"/>
        <v>0</v>
      </c>
      <c r="Z85" s="1249">
        <f t="shared" si="35"/>
        <v>0</v>
      </c>
      <c r="AA85" s="1249">
        <f t="shared" si="35"/>
        <v>0</v>
      </c>
      <c r="AB85" s="1249">
        <f t="shared" si="35"/>
        <v>0.32374083382262742</v>
      </c>
      <c r="AC85" s="1282">
        <f t="shared" si="26"/>
        <v>0.99999999999999989</v>
      </c>
    </row>
    <row r="86" spans="1:29">
      <c r="A86" s="187">
        <f t="shared" si="33"/>
        <v>1986</v>
      </c>
      <c r="B86" s="1655">
        <v>29.230110000000003</v>
      </c>
      <c r="C86" s="528">
        <v>1499.5998263576867</v>
      </c>
      <c r="D86" s="1577">
        <v>0</v>
      </c>
      <c r="E86" s="1578">
        <v>0</v>
      </c>
      <c r="F86" s="186">
        <f t="shared" si="27"/>
        <v>0.71479999999999999</v>
      </c>
      <c r="G86" s="186">
        <f t="shared" si="28"/>
        <v>0.28959999999999997</v>
      </c>
      <c r="H86" s="478">
        <v>0</v>
      </c>
      <c r="I86" s="1292">
        <f t="shared" si="21"/>
        <v>578.73</v>
      </c>
      <c r="J86" s="1293">
        <f t="shared" si="22"/>
        <v>28.06789123869763</v>
      </c>
      <c r="K86" s="1294">
        <f t="shared" si="15"/>
        <v>16916.341560300003</v>
      </c>
      <c r="L86" s="1294">
        <f t="shared" si="23"/>
        <v>42090.604827777403</v>
      </c>
      <c r="M86" s="1295">
        <f t="shared" si="16"/>
        <v>42090.604827777403</v>
      </c>
      <c r="N86" s="1249">
        <f t="shared" si="34"/>
        <v>0.19892488097366726</v>
      </c>
      <c r="O86" s="1249">
        <f t="shared" si="34"/>
        <v>0.26585903447659598</v>
      </c>
      <c r="P86" s="1249">
        <f t="shared" si="34"/>
        <v>8.9228108703258049E-2</v>
      </c>
      <c r="Q86" s="1249">
        <f t="shared" si="34"/>
        <v>0</v>
      </c>
      <c r="R86" s="1249">
        <f t="shared" si="34"/>
        <v>0</v>
      </c>
      <c r="S86" s="1249">
        <f t="shared" si="34"/>
        <v>0</v>
      </c>
      <c r="T86" s="1249">
        <f t="shared" si="34"/>
        <v>0.4459879758464787</v>
      </c>
      <c r="U86" s="1282">
        <f t="shared" si="32"/>
        <v>1</v>
      </c>
      <c r="V86" s="1283">
        <f t="shared" si="35"/>
        <v>0.29028184578274857</v>
      </c>
      <c r="W86" s="1249">
        <f t="shared" si="35"/>
        <v>0.30317187715157518</v>
      </c>
      <c r="X86" s="1249">
        <f t="shared" si="35"/>
        <v>8.2805443243048754E-2</v>
      </c>
      <c r="Y86" s="1249">
        <f t="shared" si="35"/>
        <v>0</v>
      </c>
      <c r="Z86" s="1249">
        <f t="shared" si="35"/>
        <v>0</v>
      </c>
      <c r="AA86" s="1249">
        <f t="shared" si="35"/>
        <v>0</v>
      </c>
      <c r="AB86" s="1249">
        <f t="shared" si="35"/>
        <v>0.32374083382262742</v>
      </c>
      <c r="AC86" s="1282">
        <f t="shared" si="26"/>
        <v>0.99999999999999989</v>
      </c>
    </row>
    <row r="87" spans="1:29">
      <c r="A87" s="187">
        <f t="shared" si="33"/>
        <v>1987</v>
      </c>
      <c r="B87" s="1655">
        <v>29.96903</v>
      </c>
      <c r="C87" s="528">
        <v>1531.1024480840374</v>
      </c>
      <c r="D87" s="1577">
        <v>0</v>
      </c>
      <c r="E87" s="1578">
        <v>0</v>
      </c>
      <c r="F87" s="186">
        <f t="shared" si="27"/>
        <v>0.71479999999999999</v>
      </c>
      <c r="G87" s="186">
        <f t="shared" si="28"/>
        <v>0.28959999999999997</v>
      </c>
      <c r="H87" s="478">
        <v>0</v>
      </c>
      <c r="I87" s="1292">
        <f t="shared" si="21"/>
        <v>578.73</v>
      </c>
      <c r="J87" s="1293">
        <f t="shared" si="22"/>
        <v>28.06789123869763</v>
      </c>
      <c r="K87" s="1294">
        <f t="shared" si="15"/>
        <v>17343.976731900002</v>
      </c>
      <c r="L87" s="1294">
        <f t="shared" si="23"/>
        <v>42974.816988126448</v>
      </c>
      <c r="M87" s="1295">
        <f t="shared" si="16"/>
        <v>42974.816988126448</v>
      </c>
      <c r="N87" s="1249">
        <f t="shared" si="34"/>
        <v>0.19892488097366726</v>
      </c>
      <c r="O87" s="1249">
        <f t="shared" si="34"/>
        <v>0.26585903447659598</v>
      </c>
      <c r="P87" s="1249">
        <f t="shared" si="34"/>
        <v>8.9228108703258049E-2</v>
      </c>
      <c r="Q87" s="1249">
        <f t="shared" si="34"/>
        <v>0</v>
      </c>
      <c r="R87" s="1249">
        <f t="shared" si="34"/>
        <v>0</v>
      </c>
      <c r="S87" s="1249">
        <f t="shared" si="34"/>
        <v>0</v>
      </c>
      <c r="T87" s="1249">
        <f t="shared" si="34"/>
        <v>0.4459879758464787</v>
      </c>
      <c r="U87" s="1282">
        <f t="shared" si="32"/>
        <v>1</v>
      </c>
      <c r="V87" s="1283">
        <f t="shared" si="35"/>
        <v>0.29028184578274857</v>
      </c>
      <c r="W87" s="1249">
        <f t="shared" si="35"/>
        <v>0.30317187715157518</v>
      </c>
      <c r="X87" s="1249">
        <f t="shared" si="35"/>
        <v>8.2805443243048754E-2</v>
      </c>
      <c r="Y87" s="1249">
        <f t="shared" si="35"/>
        <v>0</v>
      </c>
      <c r="Z87" s="1249">
        <f t="shared" si="35"/>
        <v>0</v>
      </c>
      <c r="AA87" s="1249">
        <f t="shared" si="35"/>
        <v>0</v>
      </c>
      <c r="AB87" s="1249">
        <f t="shared" si="35"/>
        <v>0.32374083382262742</v>
      </c>
      <c r="AC87" s="1282">
        <f t="shared" si="26"/>
        <v>0.99999999999999989</v>
      </c>
    </row>
    <row r="88" spans="1:29">
      <c r="A88" s="187">
        <f t="shared" si="33"/>
        <v>1988</v>
      </c>
      <c r="B88" s="1655">
        <v>30.692480000000003</v>
      </c>
      <c r="C88" s="528">
        <v>1595.4107803645509</v>
      </c>
      <c r="D88" s="1577">
        <v>0</v>
      </c>
      <c r="E88" s="1578">
        <v>0</v>
      </c>
      <c r="F88" s="186">
        <f t="shared" si="27"/>
        <v>0.71479999999999999</v>
      </c>
      <c r="G88" s="186">
        <f t="shared" si="28"/>
        <v>0.28959999999999997</v>
      </c>
      <c r="H88" s="478">
        <v>0</v>
      </c>
      <c r="I88" s="1292">
        <f t="shared" si="21"/>
        <v>578.73</v>
      </c>
      <c r="J88" s="1293">
        <f t="shared" si="22"/>
        <v>28.06789123869763</v>
      </c>
      <c r="K88" s="1294">
        <f t="shared" si="15"/>
        <v>17762.658950400004</v>
      </c>
      <c r="L88" s="1294">
        <f t="shared" si="23"/>
        <v>44779.816264317924</v>
      </c>
      <c r="M88" s="1295">
        <f t="shared" si="16"/>
        <v>44779.816264317924</v>
      </c>
      <c r="N88" s="1249">
        <f t="shared" si="34"/>
        <v>0.19892488097366726</v>
      </c>
      <c r="O88" s="1249">
        <f t="shared" si="34"/>
        <v>0.26585903447659598</v>
      </c>
      <c r="P88" s="1249">
        <f t="shared" si="34"/>
        <v>8.9228108703258049E-2</v>
      </c>
      <c r="Q88" s="1249">
        <f t="shared" si="34"/>
        <v>0</v>
      </c>
      <c r="R88" s="1249">
        <f t="shared" si="34"/>
        <v>0</v>
      </c>
      <c r="S88" s="1249">
        <f t="shared" si="34"/>
        <v>0</v>
      </c>
      <c r="T88" s="1249">
        <f t="shared" si="34"/>
        <v>0.4459879758464787</v>
      </c>
      <c r="U88" s="1282">
        <f t="shared" si="32"/>
        <v>1</v>
      </c>
      <c r="V88" s="1283">
        <f t="shared" si="35"/>
        <v>0.29028184578274857</v>
      </c>
      <c r="W88" s="1249">
        <f t="shared" si="35"/>
        <v>0.30317187715157518</v>
      </c>
      <c r="X88" s="1249">
        <f t="shared" si="35"/>
        <v>8.2805443243048754E-2</v>
      </c>
      <c r="Y88" s="1249">
        <f t="shared" si="35"/>
        <v>0</v>
      </c>
      <c r="Z88" s="1249">
        <f t="shared" si="35"/>
        <v>0</v>
      </c>
      <c r="AA88" s="1249">
        <f t="shared" si="35"/>
        <v>0</v>
      </c>
      <c r="AB88" s="1249">
        <f t="shared" si="35"/>
        <v>0.32374083382262742</v>
      </c>
      <c r="AC88" s="1282">
        <f t="shared" si="26"/>
        <v>0.99999999999999989</v>
      </c>
    </row>
    <row r="89" spans="1:29">
      <c r="A89" s="187">
        <f t="shared" si="33"/>
        <v>1989</v>
      </c>
      <c r="B89" s="1655">
        <v>31.386810000000001</v>
      </c>
      <c r="C89" s="528">
        <v>1633.6174250036995</v>
      </c>
      <c r="D89" s="1577">
        <v>0</v>
      </c>
      <c r="E89" s="1578">
        <v>0</v>
      </c>
      <c r="F89" s="186">
        <f t="shared" si="27"/>
        <v>0.71479999999999999</v>
      </c>
      <c r="G89" s="186">
        <f t="shared" si="28"/>
        <v>0.28959999999999997</v>
      </c>
      <c r="H89" s="478">
        <v>0</v>
      </c>
      <c r="I89" s="1292">
        <f t="shared" si="21"/>
        <v>578.73</v>
      </c>
      <c r="J89" s="1293">
        <f t="shared" si="22"/>
        <v>28.06789123869763</v>
      </c>
      <c r="K89" s="1294">
        <f t="shared" si="15"/>
        <v>18164.488551300001</v>
      </c>
      <c r="L89" s="1294">
        <f t="shared" si="23"/>
        <v>45852.196210645117</v>
      </c>
      <c r="M89" s="1295">
        <f t="shared" si="16"/>
        <v>45852.196210645117</v>
      </c>
      <c r="N89" s="1249">
        <f t="shared" si="34"/>
        <v>0.19892488097366726</v>
      </c>
      <c r="O89" s="1249">
        <f t="shared" si="34"/>
        <v>0.26585903447659598</v>
      </c>
      <c r="P89" s="1249">
        <f t="shared" si="34"/>
        <v>8.9228108703258049E-2</v>
      </c>
      <c r="Q89" s="1249">
        <f t="shared" si="34"/>
        <v>0</v>
      </c>
      <c r="R89" s="1249">
        <f t="shared" si="34"/>
        <v>0</v>
      </c>
      <c r="S89" s="1249">
        <f t="shared" si="34"/>
        <v>0</v>
      </c>
      <c r="T89" s="1249">
        <f t="shared" si="34"/>
        <v>0.4459879758464787</v>
      </c>
      <c r="U89" s="1282">
        <f t="shared" si="32"/>
        <v>1</v>
      </c>
      <c r="V89" s="1283">
        <f t="shared" si="35"/>
        <v>0.29028184578274857</v>
      </c>
      <c r="W89" s="1249">
        <f t="shared" si="35"/>
        <v>0.30317187715157518</v>
      </c>
      <c r="X89" s="1249">
        <f t="shared" si="35"/>
        <v>8.2805443243048754E-2</v>
      </c>
      <c r="Y89" s="1249">
        <f t="shared" si="35"/>
        <v>0</v>
      </c>
      <c r="Z89" s="1249">
        <f t="shared" si="35"/>
        <v>0</v>
      </c>
      <c r="AA89" s="1249">
        <f t="shared" si="35"/>
        <v>0</v>
      </c>
      <c r="AB89" s="1249">
        <f t="shared" si="35"/>
        <v>0.32374083382262742</v>
      </c>
      <c r="AC89" s="1282">
        <f t="shared" si="26"/>
        <v>0.99999999999999989</v>
      </c>
    </row>
    <row r="90" spans="1:29">
      <c r="A90" s="187">
        <f t="shared" si="33"/>
        <v>1990</v>
      </c>
      <c r="B90" s="1655">
        <v>32.032000000000004</v>
      </c>
      <c r="C90" s="528">
        <v>1628.4260228263977</v>
      </c>
      <c r="D90" s="1577">
        <v>0</v>
      </c>
      <c r="E90" s="1578">
        <v>0</v>
      </c>
      <c r="F90" s="186">
        <f t="shared" si="27"/>
        <v>0.71479999999999999</v>
      </c>
      <c r="G90" s="186">
        <f t="shared" si="28"/>
        <v>0.28959999999999997</v>
      </c>
      <c r="H90" s="478">
        <v>0</v>
      </c>
      <c r="I90" s="1292">
        <f t="shared" si="21"/>
        <v>578.73</v>
      </c>
      <c r="J90" s="1293">
        <f t="shared" si="22"/>
        <v>28.06789123869763</v>
      </c>
      <c r="K90" s="1294">
        <f t="shared" si="15"/>
        <v>18537.879360000003</v>
      </c>
      <c r="L90" s="1294">
        <f t="shared" si="23"/>
        <v>45706.484498956277</v>
      </c>
      <c r="M90" s="1295">
        <f t="shared" si="16"/>
        <v>45706.484498956277</v>
      </c>
      <c r="N90" s="1249">
        <f t="shared" si="34"/>
        <v>0.19892488097366726</v>
      </c>
      <c r="O90" s="1249">
        <f t="shared" si="34"/>
        <v>0.26585903447659598</v>
      </c>
      <c r="P90" s="1249">
        <f t="shared" si="34"/>
        <v>8.9228108703258049E-2</v>
      </c>
      <c r="Q90" s="1249">
        <f t="shared" si="34"/>
        <v>0</v>
      </c>
      <c r="R90" s="1249">
        <f t="shared" si="34"/>
        <v>0</v>
      </c>
      <c r="S90" s="1249">
        <f t="shared" si="34"/>
        <v>0</v>
      </c>
      <c r="T90" s="1249">
        <f t="shared" si="34"/>
        <v>0.4459879758464787</v>
      </c>
      <c r="U90" s="1282">
        <f t="shared" si="32"/>
        <v>1</v>
      </c>
      <c r="V90" s="1283">
        <f t="shared" si="35"/>
        <v>0.29028184578274857</v>
      </c>
      <c r="W90" s="1249">
        <f t="shared" si="35"/>
        <v>0.30317187715157518</v>
      </c>
      <c r="X90" s="1249">
        <f t="shared" si="35"/>
        <v>8.2805443243048754E-2</v>
      </c>
      <c r="Y90" s="1249">
        <f t="shared" si="35"/>
        <v>0</v>
      </c>
      <c r="Z90" s="1249">
        <f t="shared" si="35"/>
        <v>0</v>
      </c>
      <c r="AA90" s="1249">
        <f t="shared" si="35"/>
        <v>0</v>
      </c>
      <c r="AB90" s="1249">
        <f t="shared" si="35"/>
        <v>0.32374083382262742</v>
      </c>
      <c r="AC90" s="1282">
        <f t="shared" si="26"/>
        <v>0.99999999999999989</v>
      </c>
    </row>
    <row r="91" spans="1:29">
      <c r="A91" s="187">
        <f t="shared" si="33"/>
        <v>1991</v>
      </c>
      <c r="B91" s="1655">
        <v>32.69903</v>
      </c>
      <c r="C91" s="528">
        <v>1611.8450654448757</v>
      </c>
      <c r="D91" s="1577">
        <v>0</v>
      </c>
      <c r="E91" s="1578">
        <v>0</v>
      </c>
      <c r="F91" s="186">
        <f t="shared" si="27"/>
        <v>0.71479999999999999</v>
      </c>
      <c r="G91" s="186">
        <f t="shared" si="28"/>
        <v>0.28959999999999997</v>
      </c>
      <c r="H91" s="478">
        <v>0</v>
      </c>
      <c r="I91" s="1292">
        <f t="shared" si="21"/>
        <v>578.73</v>
      </c>
      <c r="J91" s="1293">
        <f t="shared" si="22"/>
        <v>28.06789123869763</v>
      </c>
      <c r="K91" s="1294">
        <f t="shared" si="15"/>
        <v>18923.909631900002</v>
      </c>
      <c r="L91" s="1294">
        <f t="shared" si="23"/>
        <v>45241.091990538232</v>
      </c>
      <c r="M91" s="1295">
        <f t="shared" si="16"/>
        <v>45241.091990538232</v>
      </c>
      <c r="N91" s="1249">
        <f t="shared" si="34"/>
        <v>0.19892488097366726</v>
      </c>
      <c r="O91" s="1249">
        <f t="shared" si="34"/>
        <v>0.26585903447659598</v>
      </c>
      <c r="P91" s="1249">
        <f t="shared" si="34"/>
        <v>8.9228108703258049E-2</v>
      </c>
      <c r="Q91" s="1249">
        <f t="shared" si="34"/>
        <v>0</v>
      </c>
      <c r="R91" s="1249">
        <f t="shared" si="34"/>
        <v>0</v>
      </c>
      <c r="S91" s="1249">
        <f t="shared" si="34"/>
        <v>0</v>
      </c>
      <c r="T91" s="1249">
        <f t="shared" si="34"/>
        <v>0.4459879758464787</v>
      </c>
      <c r="U91" s="1282">
        <f t="shared" si="32"/>
        <v>1</v>
      </c>
      <c r="V91" s="1283">
        <f t="shared" si="35"/>
        <v>0.29028184578274857</v>
      </c>
      <c r="W91" s="1249">
        <f t="shared" si="35"/>
        <v>0.30317187715157518</v>
      </c>
      <c r="X91" s="1249">
        <f t="shared" si="35"/>
        <v>8.2805443243048754E-2</v>
      </c>
      <c r="Y91" s="1249">
        <f t="shared" si="35"/>
        <v>0</v>
      </c>
      <c r="Z91" s="1249">
        <f t="shared" si="35"/>
        <v>0</v>
      </c>
      <c r="AA91" s="1249">
        <f t="shared" si="35"/>
        <v>0</v>
      </c>
      <c r="AB91" s="1249">
        <f t="shared" si="35"/>
        <v>0.32374083382262742</v>
      </c>
      <c r="AC91" s="1282">
        <f t="shared" si="26"/>
        <v>0.99999999999999989</v>
      </c>
    </row>
    <row r="92" spans="1:29">
      <c r="A92" s="187">
        <f t="shared" si="33"/>
        <v>1992</v>
      </c>
      <c r="B92" s="1655">
        <v>33.388809999999999</v>
      </c>
      <c r="C92" s="528">
        <v>1577.3990194337794</v>
      </c>
      <c r="D92" s="1577">
        <v>0</v>
      </c>
      <c r="E92" s="1578">
        <v>0</v>
      </c>
      <c r="F92" s="186">
        <f t="shared" si="27"/>
        <v>0.71479999999999999</v>
      </c>
      <c r="G92" s="186">
        <f t="shared" si="28"/>
        <v>0.28959999999999997</v>
      </c>
      <c r="H92" s="478">
        <v>0</v>
      </c>
      <c r="I92" s="1292">
        <f t="shared" si="21"/>
        <v>578.73</v>
      </c>
      <c r="J92" s="1293">
        <f t="shared" si="22"/>
        <v>28.06789123869763</v>
      </c>
      <c r="K92" s="1294">
        <f t="shared" si="15"/>
        <v>19323.106011299998</v>
      </c>
      <c r="L92" s="1294">
        <f t="shared" si="23"/>
        <v>44274.264117495608</v>
      </c>
      <c r="M92" s="1295">
        <f t="shared" si="16"/>
        <v>44274.264117495608</v>
      </c>
      <c r="N92" s="1249">
        <f t="shared" si="34"/>
        <v>0.19892488097366726</v>
      </c>
      <c r="O92" s="1249">
        <f t="shared" si="34"/>
        <v>0.26585903447659598</v>
      </c>
      <c r="P92" s="1249">
        <f t="shared" si="34"/>
        <v>8.9228108703258049E-2</v>
      </c>
      <c r="Q92" s="1249">
        <f t="shared" si="34"/>
        <v>0</v>
      </c>
      <c r="R92" s="1249">
        <f t="shared" si="34"/>
        <v>0</v>
      </c>
      <c r="S92" s="1249">
        <f t="shared" si="34"/>
        <v>0</v>
      </c>
      <c r="T92" s="1249">
        <f t="shared" si="34"/>
        <v>0.4459879758464787</v>
      </c>
      <c r="U92" s="1282">
        <f t="shared" si="32"/>
        <v>1</v>
      </c>
      <c r="V92" s="1283">
        <f t="shared" si="35"/>
        <v>0.29028184578274857</v>
      </c>
      <c r="W92" s="1249">
        <f t="shared" si="35"/>
        <v>0.30317187715157518</v>
      </c>
      <c r="X92" s="1249">
        <f t="shared" si="35"/>
        <v>8.2805443243048754E-2</v>
      </c>
      <c r="Y92" s="1249">
        <f t="shared" si="35"/>
        <v>0</v>
      </c>
      <c r="Z92" s="1249">
        <f t="shared" si="35"/>
        <v>0</v>
      </c>
      <c r="AA92" s="1249">
        <f t="shared" si="35"/>
        <v>0</v>
      </c>
      <c r="AB92" s="1249">
        <f t="shared" si="35"/>
        <v>0.32374083382262742</v>
      </c>
      <c r="AC92" s="1282">
        <f t="shared" si="26"/>
        <v>0.99999999999999989</v>
      </c>
    </row>
    <row r="93" spans="1:29">
      <c r="A93" s="187">
        <f t="shared" si="33"/>
        <v>1993</v>
      </c>
      <c r="B93" s="1655">
        <v>34.101339999999993</v>
      </c>
      <c r="C93" s="528">
        <v>1596.8565504459618</v>
      </c>
      <c r="D93" s="1577">
        <v>0</v>
      </c>
      <c r="E93" s="1578">
        <v>0</v>
      </c>
      <c r="F93" s="186">
        <f t="shared" si="27"/>
        <v>0.71479999999999999</v>
      </c>
      <c r="G93" s="186">
        <f t="shared" si="28"/>
        <v>0.28959999999999997</v>
      </c>
      <c r="H93" s="478">
        <v>0</v>
      </c>
      <c r="I93" s="1292">
        <f t="shared" si="21"/>
        <v>578.73</v>
      </c>
      <c r="J93" s="1293">
        <f t="shared" si="22"/>
        <v>28.06789123869763</v>
      </c>
      <c r="K93" s="1294">
        <f t="shared" si="15"/>
        <v>19735.468498199996</v>
      </c>
      <c r="L93" s="1294">
        <f t="shared" si="23"/>
        <v>44820.395981719135</v>
      </c>
      <c r="M93" s="1295">
        <f t="shared" si="16"/>
        <v>44820.395981719135</v>
      </c>
      <c r="N93" s="1249">
        <f t="shared" si="34"/>
        <v>0.19892488097366726</v>
      </c>
      <c r="O93" s="1249">
        <f t="shared" si="34"/>
        <v>0.26585903447659598</v>
      </c>
      <c r="P93" s="1249">
        <f t="shared" si="34"/>
        <v>8.9228108703258049E-2</v>
      </c>
      <c r="Q93" s="1249">
        <f t="shared" si="34"/>
        <v>0</v>
      </c>
      <c r="R93" s="1249">
        <f t="shared" si="34"/>
        <v>0</v>
      </c>
      <c r="S93" s="1249">
        <f t="shared" si="34"/>
        <v>0</v>
      </c>
      <c r="T93" s="1249">
        <f t="shared" si="34"/>
        <v>0.4459879758464787</v>
      </c>
      <c r="U93" s="1282">
        <f t="shared" si="32"/>
        <v>1</v>
      </c>
      <c r="V93" s="1283">
        <f t="shared" si="35"/>
        <v>0.29028184578274857</v>
      </c>
      <c r="W93" s="1249">
        <f t="shared" si="35"/>
        <v>0.30317187715157518</v>
      </c>
      <c r="X93" s="1249">
        <f t="shared" si="35"/>
        <v>8.2805443243048754E-2</v>
      </c>
      <c r="Y93" s="1249">
        <f t="shared" si="35"/>
        <v>0</v>
      </c>
      <c r="Z93" s="1249">
        <f t="shared" si="35"/>
        <v>0</v>
      </c>
      <c r="AA93" s="1249">
        <f t="shared" si="35"/>
        <v>0</v>
      </c>
      <c r="AB93" s="1249">
        <f t="shared" si="35"/>
        <v>0.32374083382262742</v>
      </c>
      <c r="AC93" s="1282">
        <f t="shared" si="26"/>
        <v>0.99999999999999989</v>
      </c>
    </row>
    <row r="94" spans="1:29">
      <c r="A94" s="187">
        <f t="shared" si="33"/>
        <v>1994</v>
      </c>
      <c r="B94" s="1655">
        <v>34.837530000000001</v>
      </c>
      <c r="C94" s="528">
        <v>1647.9559768112579</v>
      </c>
      <c r="D94" s="1577">
        <v>0</v>
      </c>
      <c r="E94" s="1578">
        <v>0</v>
      </c>
      <c r="F94" s="186">
        <f t="shared" si="27"/>
        <v>0.71479999999999999</v>
      </c>
      <c r="G94" s="186">
        <f t="shared" si="28"/>
        <v>0.28959999999999997</v>
      </c>
      <c r="H94" s="478">
        <v>0</v>
      </c>
      <c r="I94" s="1292">
        <f t="shared" si="21"/>
        <v>578.73</v>
      </c>
      <c r="J94" s="1293">
        <f t="shared" si="22"/>
        <v>28.06789123869763</v>
      </c>
      <c r="K94" s="1294">
        <f t="shared" si="15"/>
        <v>20161.523736900002</v>
      </c>
      <c r="L94" s="1294">
        <f t="shared" si="23"/>
        <v>46254.6491233001</v>
      </c>
      <c r="M94" s="1295">
        <f t="shared" si="16"/>
        <v>46254.6491233001</v>
      </c>
      <c r="N94" s="1249">
        <f t="shared" si="34"/>
        <v>0.19892488097366726</v>
      </c>
      <c r="O94" s="1249">
        <f t="shared" si="34"/>
        <v>0.26585903447659598</v>
      </c>
      <c r="P94" s="1249">
        <f t="shared" si="34"/>
        <v>8.9228108703258049E-2</v>
      </c>
      <c r="Q94" s="1249">
        <f t="shared" si="34"/>
        <v>0</v>
      </c>
      <c r="R94" s="1249">
        <f t="shared" si="34"/>
        <v>0</v>
      </c>
      <c r="S94" s="1249">
        <f t="shared" si="34"/>
        <v>0</v>
      </c>
      <c r="T94" s="1249">
        <f t="shared" si="34"/>
        <v>0.4459879758464787</v>
      </c>
      <c r="U94" s="1282">
        <f t="shared" si="32"/>
        <v>1</v>
      </c>
      <c r="V94" s="1283">
        <f t="shared" si="35"/>
        <v>0.29028184578274857</v>
      </c>
      <c r="W94" s="1249">
        <f t="shared" si="35"/>
        <v>0.30317187715157518</v>
      </c>
      <c r="X94" s="1249">
        <f t="shared" si="35"/>
        <v>8.2805443243048754E-2</v>
      </c>
      <c r="Y94" s="1249">
        <f t="shared" si="35"/>
        <v>0</v>
      </c>
      <c r="Z94" s="1249">
        <f t="shared" si="35"/>
        <v>0</v>
      </c>
      <c r="AA94" s="1249">
        <f t="shared" si="35"/>
        <v>0</v>
      </c>
      <c r="AB94" s="1249">
        <f t="shared" si="35"/>
        <v>0.32374083382262742</v>
      </c>
      <c r="AC94" s="1282">
        <f t="shared" si="26"/>
        <v>0.99999999999999989</v>
      </c>
    </row>
    <row r="95" spans="1:29">
      <c r="A95" s="187">
        <f t="shared" si="33"/>
        <v>1995</v>
      </c>
      <c r="B95" s="1655">
        <v>35.599199999999996</v>
      </c>
      <c r="C95" s="528">
        <v>1699.0425365830638</v>
      </c>
      <c r="D95" s="1577">
        <v>0</v>
      </c>
      <c r="E95" s="1578">
        <v>0</v>
      </c>
      <c r="F95" s="186">
        <f t="shared" si="27"/>
        <v>0.71479999999999999</v>
      </c>
      <c r="G95" s="186">
        <f t="shared" si="28"/>
        <v>0.28959999999999997</v>
      </c>
      <c r="H95" s="478">
        <v>0</v>
      </c>
      <c r="I95" s="1292">
        <f t="shared" si="21"/>
        <v>578.73</v>
      </c>
      <c r="J95" s="1293">
        <f t="shared" si="22"/>
        <v>28.06789123869763</v>
      </c>
      <c r="K95" s="1294">
        <f t="shared" si="15"/>
        <v>20602.325015999999</v>
      </c>
      <c r="L95" s="1294">
        <f t="shared" si="23"/>
        <v>47688.541126734373</v>
      </c>
      <c r="M95" s="1295">
        <f t="shared" si="16"/>
        <v>47688.541126734373</v>
      </c>
      <c r="N95" s="1249">
        <f t="shared" si="34"/>
        <v>0.19892488097366726</v>
      </c>
      <c r="O95" s="1249">
        <f t="shared" si="34"/>
        <v>0.26585903447659598</v>
      </c>
      <c r="P95" s="1249">
        <f t="shared" si="34"/>
        <v>8.9228108703258049E-2</v>
      </c>
      <c r="Q95" s="1249">
        <f t="shared" si="34"/>
        <v>0</v>
      </c>
      <c r="R95" s="1249">
        <f t="shared" si="34"/>
        <v>0</v>
      </c>
      <c r="S95" s="1249">
        <f t="shared" si="34"/>
        <v>0</v>
      </c>
      <c r="T95" s="1249">
        <f t="shared" si="34"/>
        <v>0.4459879758464787</v>
      </c>
      <c r="U95" s="1282">
        <f t="shared" si="32"/>
        <v>1</v>
      </c>
      <c r="V95" s="1283">
        <f t="shared" si="35"/>
        <v>0.29028184578274857</v>
      </c>
      <c r="W95" s="1249">
        <f t="shared" si="35"/>
        <v>0.30317187715157518</v>
      </c>
      <c r="X95" s="1249">
        <f t="shared" si="35"/>
        <v>8.2805443243048754E-2</v>
      </c>
      <c r="Y95" s="1249">
        <f t="shared" si="35"/>
        <v>0</v>
      </c>
      <c r="Z95" s="1249">
        <f t="shared" si="35"/>
        <v>0</v>
      </c>
      <c r="AA95" s="1249">
        <f t="shared" si="35"/>
        <v>0</v>
      </c>
      <c r="AB95" s="1249">
        <f t="shared" si="35"/>
        <v>0.32374083382262742</v>
      </c>
      <c r="AC95" s="1282">
        <f t="shared" si="26"/>
        <v>0.99999999999999989</v>
      </c>
    </row>
    <row r="96" spans="1:29">
      <c r="A96" s="187">
        <f t="shared" si="33"/>
        <v>1996</v>
      </c>
      <c r="B96" s="1655">
        <v>36.4</v>
      </c>
      <c r="C96" s="528">
        <v>1772.1013480030836</v>
      </c>
      <c r="D96" s="1577">
        <v>0</v>
      </c>
      <c r="E96" s="1578">
        <v>0</v>
      </c>
      <c r="F96" s="186">
        <f t="shared" si="27"/>
        <v>0.71479999999999999</v>
      </c>
      <c r="G96" s="186">
        <f t="shared" si="28"/>
        <v>0.28959999999999997</v>
      </c>
      <c r="H96" s="478">
        <v>0</v>
      </c>
      <c r="I96" s="1292">
        <f t="shared" si="21"/>
        <v>578.73</v>
      </c>
      <c r="J96" s="1293">
        <f t="shared" si="22"/>
        <v>28.06789123869763</v>
      </c>
      <c r="K96" s="1294">
        <f t="shared" si="15"/>
        <v>21065.772000000001</v>
      </c>
      <c r="L96" s="1294">
        <f t="shared" si="23"/>
        <v>49739.147899700009</v>
      </c>
      <c r="M96" s="1295">
        <f t="shared" si="16"/>
        <v>49739.147899700009</v>
      </c>
      <c r="N96" s="1249">
        <f t="shared" si="34"/>
        <v>0.19892488097366726</v>
      </c>
      <c r="O96" s="1249">
        <f t="shared" si="34"/>
        <v>0.26585903447659598</v>
      </c>
      <c r="P96" s="1249">
        <f t="shared" si="34"/>
        <v>8.9228108703258049E-2</v>
      </c>
      <c r="Q96" s="1249">
        <f t="shared" si="34"/>
        <v>0</v>
      </c>
      <c r="R96" s="1249">
        <f t="shared" si="34"/>
        <v>0</v>
      </c>
      <c r="S96" s="1249">
        <f t="shared" si="34"/>
        <v>0</v>
      </c>
      <c r="T96" s="1249">
        <f t="shared" si="34"/>
        <v>0.4459879758464787</v>
      </c>
      <c r="U96" s="1282">
        <f t="shared" si="32"/>
        <v>1</v>
      </c>
      <c r="V96" s="1283">
        <f t="shared" si="35"/>
        <v>0.29028184578274857</v>
      </c>
      <c r="W96" s="1249">
        <f t="shared" si="35"/>
        <v>0.30317187715157518</v>
      </c>
      <c r="X96" s="1249">
        <f t="shared" si="35"/>
        <v>8.2805443243048754E-2</v>
      </c>
      <c r="Y96" s="1249">
        <f t="shared" si="35"/>
        <v>0</v>
      </c>
      <c r="Z96" s="1249">
        <f t="shared" si="35"/>
        <v>0</v>
      </c>
      <c r="AA96" s="1249">
        <f t="shared" si="35"/>
        <v>0</v>
      </c>
      <c r="AB96" s="1249">
        <f t="shared" si="35"/>
        <v>0.32374083382262742</v>
      </c>
      <c r="AC96" s="1282">
        <f t="shared" si="26"/>
        <v>0.99999999999999989</v>
      </c>
    </row>
    <row r="97" spans="1:29">
      <c r="A97" s="187">
        <f t="shared" si="33"/>
        <v>1997</v>
      </c>
      <c r="B97" s="1655">
        <v>37.242660000000001</v>
      </c>
      <c r="C97" s="528">
        <v>1818.1760205488283</v>
      </c>
      <c r="D97" s="1577">
        <v>0</v>
      </c>
      <c r="E97" s="1578">
        <v>0</v>
      </c>
      <c r="F97" s="186">
        <f t="shared" si="27"/>
        <v>0.71479999999999999</v>
      </c>
      <c r="G97" s="186">
        <f t="shared" si="28"/>
        <v>0.28959999999999997</v>
      </c>
      <c r="H97" s="478">
        <v>0</v>
      </c>
      <c r="I97" s="1292">
        <f t="shared" si="21"/>
        <v>578.73</v>
      </c>
      <c r="J97" s="1293">
        <f t="shared" si="22"/>
        <v>28.06789123869763</v>
      </c>
      <c r="K97" s="1294">
        <f t="shared" si="15"/>
        <v>21553.444621800001</v>
      </c>
      <c r="L97" s="1294">
        <f t="shared" si="23"/>
        <v>51032.366797572584</v>
      </c>
      <c r="M97" s="1295">
        <f t="shared" si="16"/>
        <v>51032.366797572584</v>
      </c>
      <c r="N97" s="1249">
        <f t="shared" si="34"/>
        <v>0.19892488097366726</v>
      </c>
      <c r="O97" s="1249">
        <f t="shared" si="34"/>
        <v>0.26585903447659598</v>
      </c>
      <c r="P97" s="1249">
        <f t="shared" si="34"/>
        <v>8.9228108703258049E-2</v>
      </c>
      <c r="Q97" s="1249">
        <f t="shared" si="34"/>
        <v>0</v>
      </c>
      <c r="R97" s="1249">
        <f t="shared" si="34"/>
        <v>0</v>
      </c>
      <c r="S97" s="1249">
        <f t="shared" si="34"/>
        <v>0</v>
      </c>
      <c r="T97" s="1249">
        <f t="shared" si="34"/>
        <v>0.4459879758464787</v>
      </c>
      <c r="U97" s="1282">
        <f t="shared" si="32"/>
        <v>1</v>
      </c>
      <c r="V97" s="1283">
        <f t="shared" si="35"/>
        <v>0.29028184578274857</v>
      </c>
      <c r="W97" s="1249">
        <f t="shared" si="35"/>
        <v>0.30317187715157518</v>
      </c>
      <c r="X97" s="1249">
        <f t="shared" si="35"/>
        <v>8.2805443243048754E-2</v>
      </c>
      <c r="Y97" s="1249">
        <f t="shared" si="35"/>
        <v>0</v>
      </c>
      <c r="Z97" s="1249">
        <f t="shared" si="35"/>
        <v>0</v>
      </c>
      <c r="AA97" s="1249">
        <f t="shared" si="35"/>
        <v>0</v>
      </c>
      <c r="AB97" s="1249">
        <f t="shared" si="35"/>
        <v>0.32374083382262742</v>
      </c>
      <c r="AC97" s="1282">
        <f t="shared" si="26"/>
        <v>0.99999999999999989</v>
      </c>
    </row>
    <row r="98" spans="1:29">
      <c r="A98" s="187">
        <f t="shared" si="33"/>
        <v>1998</v>
      </c>
      <c r="B98" s="1655">
        <v>38.128999999999998</v>
      </c>
      <c r="C98" s="528">
        <v>1827.2669171060654</v>
      </c>
      <c r="D98" s="1577">
        <v>0</v>
      </c>
      <c r="E98" s="1578">
        <v>0</v>
      </c>
      <c r="F98" s="186">
        <f t="shared" si="27"/>
        <v>0.71479999999999999</v>
      </c>
      <c r="G98" s="186">
        <f t="shared" si="28"/>
        <v>0.28959999999999997</v>
      </c>
      <c r="H98" s="478">
        <v>0</v>
      </c>
      <c r="I98" s="1292">
        <f t="shared" si="21"/>
        <v>578.73</v>
      </c>
      <c r="J98" s="1293">
        <f t="shared" si="22"/>
        <v>28.06789123869763</v>
      </c>
      <c r="K98" s="1294">
        <f t="shared" si="15"/>
        <v>22066.39617</v>
      </c>
      <c r="L98" s="1294">
        <f t="shared" si="23"/>
        <v>51287.529093403362</v>
      </c>
      <c r="M98" s="1295">
        <f t="shared" si="16"/>
        <v>51287.529093403362</v>
      </c>
      <c r="N98" s="1249">
        <f t="shared" si="34"/>
        <v>0.19892488097366726</v>
      </c>
      <c r="O98" s="1249">
        <f t="shared" si="34"/>
        <v>0.26585903447659598</v>
      </c>
      <c r="P98" s="1249">
        <f t="shared" si="34"/>
        <v>8.9228108703258049E-2</v>
      </c>
      <c r="Q98" s="1249">
        <f t="shared" si="34"/>
        <v>0</v>
      </c>
      <c r="R98" s="1249">
        <f t="shared" si="34"/>
        <v>0</v>
      </c>
      <c r="S98" s="1249">
        <f t="shared" si="34"/>
        <v>0</v>
      </c>
      <c r="T98" s="1249">
        <f t="shared" si="34"/>
        <v>0.4459879758464787</v>
      </c>
      <c r="U98" s="1282">
        <f t="shared" si="32"/>
        <v>1</v>
      </c>
      <c r="V98" s="1283">
        <f t="shared" si="35"/>
        <v>0.29028184578274857</v>
      </c>
      <c r="W98" s="1249">
        <f t="shared" si="35"/>
        <v>0.30317187715157518</v>
      </c>
      <c r="X98" s="1249">
        <f t="shared" si="35"/>
        <v>8.2805443243048754E-2</v>
      </c>
      <c r="Y98" s="1249">
        <f t="shared" si="35"/>
        <v>0</v>
      </c>
      <c r="Z98" s="1249">
        <f t="shared" si="35"/>
        <v>0</v>
      </c>
      <c r="AA98" s="1249">
        <f t="shared" si="35"/>
        <v>0</v>
      </c>
      <c r="AB98" s="1249">
        <f t="shared" si="35"/>
        <v>0.32374083382262742</v>
      </c>
      <c r="AC98" s="1282">
        <f t="shared" si="26"/>
        <v>0.99999999999999989</v>
      </c>
    </row>
    <row r="99" spans="1:29" ht="13.9" customHeight="1" thickBot="1">
      <c r="A99" s="187">
        <f t="shared" si="33"/>
        <v>1999</v>
      </c>
      <c r="B99" s="1655">
        <v>39.059930000000001</v>
      </c>
      <c r="C99" s="528">
        <v>1871.1212545027383</v>
      </c>
      <c r="D99" s="1577">
        <v>0</v>
      </c>
      <c r="E99" s="1578">
        <v>0</v>
      </c>
      <c r="F99" s="186">
        <f t="shared" si="27"/>
        <v>0.71479999999999999</v>
      </c>
      <c r="G99" s="186">
        <f t="shared" si="28"/>
        <v>0.28959999999999997</v>
      </c>
      <c r="H99" s="478">
        <v>0</v>
      </c>
      <c r="I99" s="1292">
        <f t="shared" si="21"/>
        <v>578.73</v>
      </c>
      <c r="J99" s="1293">
        <f t="shared" si="22"/>
        <v>28.06789123869763</v>
      </c>
      <c r="K99" s="1294">
        <f t="shared" si="15"/>
        <v>22605.153288900001</v>
      </c>
      <c r="L99" s="1294">
        <f t="shared" si="23"/>
        <v>52518.42786579833</v>
      </c>
      <c r="M99" s="1295">
        <f t="shared" si="16"/>
        <v>52518.42786579833</v>
      </c>
      <c r="N99" s="1249">
        <f t="shared" ref="N99:T114" si="36">N98</f>
        <v>0.19892488097366726</v>
      </c>
      <c r="O99" s="1249">
        <f t="shared" si="36"/>
        <v>0.26585903447659598</v>
      </c>
      <c r="P99" s="1249">
        <f t="shared" si="36"/>
        <v>8.9228108703258049E-2</v>
      </c>
      <c r="Q99" s="1249">
        <f t="shared" si="36"/>
        <v>0</v>
      </c>
      <c r="R99" s="1249">
        <f t="shared" si="36"/>
        <v>0</v>
      </c>
      <c r="S99" s="1249">
        <f t="shared" si="36"/>
        <v>0</v>
      </c>
      <c r="T99" s="1249">
        <f t="shared" si="36"/>
        <v>0.4459879758464787</v>
      </c>
      <c r="U99" s="1282">
        <f t="shared" si="32"/>
        <v>1</v>
      </c>
      <c r="V99" s="1283">
        <f t="shared" si="35"/>
        <v>0.29028184578274857</v>
      </c>
      <c r="W99" s="1249">
        <f t="shared" si="35"/>
        <v>0.30317187715157518</v>
      </c>
      <c r="X99" s="1249">
        <f t="shared" si="35"/>
        <v>8.2805443243048754E-2</v>
      </c>
      <c r="Y99" s="1249">
        <f t="shared" si="35"/>
        <v>0</v>
      </c>
      <c r="Z99" s="1249">
        <f t="shared" si="35"/>
        <v>0</v>
      </c>
      <c r="AA99" s="1249">
        <f t="shared" si="35"/>
        <v>0</v>
      </c>
      <c r="AB99" s="1249">
        <f t="shared" si="35"/>
        <v>0.32374083382262742</v>
      </c>
      <c r="AC99" s="1282">
        <f t="shared" si="26"/>
        <v>0.99999999999999989</v>
      </c>
    </row>
    <row r="100" spans="1:29">
      <c r="A100" s="1661">
        <f t="shared" si="33"/>
        <v>2000</v>
      </c>
      <c r="B100" s="1699">
        <v>44</v>
      </c>
      <c r="C100" s="1662">
        <v>1949.7084122320282</v>
      </c>
      <c r="D100" s="1663">
        <v>0</v>
      </c>
      <c r="E100" s="1664">
        <f>D100</f>
        <v>0</v>
      </c>
      <c r="F100" s="1665">
        <f t="shared" si="27"/>
        <v>0.71479999999999999</v>
      </c>
      <c r="G100" s="1665">
        <f t="shared" si="28"/>
        <v>0.28959999999999997</v>
      </c>
      <c r="H100" s="1666">
        <v>501</v>
      </c>
      <c r="I100" s="1667">
        <f t="shared" si="21"/>
        <v>578.73</v>
      </c>
      <c r="J100" s="1668">
        <f t="shared" si="22"/>
        <v>28.06789123869763</v>
      </c>
      <c r="K100" s="1669">
        <f t="shared" si="15"/>
        <v>25464.120000000003</v>
      </c>
      <c r="L100" s="1669">
        <f>C100*J100*1000/1000</f>
        <v>54724.203661702413</v>
      </c>
      <c r="M100" s="1670">
        <f t="shared" si="16"/>
        <v>54724.203661702413</v>
      </c>
      <c r="N100" s="1665">
        <f t="shared" si="36"/>
        <v>0.19892488097366726</v>
      </c>
      <c r="O100" s="1665">
        <f t="shared" si="36"/>
        <v>0.26585903447659598</v>
      </c>
      <c r="P100" s="1665">
        <f t="shared" si="36"/>
        <v>8.9228108703258049E-2</v>
      </c>
      <c r="Q100" s="1665">
        <f t="shared" si="36"/>
        <v>0</v>
      </c>
      <c r="R100" s="1665">
        <f t="shared" si="36"/>
        <v>0</v>
      </c>
      <c r="S100" s="1665">
        <f t="shared" si="36"/>
        <v>0</v>
      </c>
      <c r="T100" s="1665">
        <f t="shared" si="36"/>
        <v>0.4459879758464787</v>
      </c>
      <c r="U100" s="1671">
        <f t="shared" si="32"/>
        <v>1</v>
      </c>
      <c r="V100" s="1665">
        <f t="shared" ref="V100:AB115" si="37">V99</f>
        <v>0.29028184578274857</v>
      </c>
      <c r="W100" s="1665">
        <f t="shared" si="37"/>
        <v>0.30317187715157518</v>
      </c>
      <c r="X100" s="1665">
        <f t="shared" si="37"/>
        <v>8.2805443243048754E-2</v>
      </c>
      <c r="Y100" s="1665">
        <f t="shared" si="37"/>
        <v>0</v>
      </c>
      <c r="Z100" s="1665">
        <f t="shared" si="37"/>
        <v>0</v>
      </c>
      <c r="AA100" s="1665">
        <f t="shared" si="37"/>
        <v>0</v>
      </c>
      <c r="AB100" s="1665">
        <f t="shared" si="37"/>
        <v>0.32374083382262742</v>
      </c>
      <c r="AC100" s="1671">
        <f t="shared" si="26"/>
        <v>0.99999999999999989</v>
      </c>
    </row>
    <row r="101" spans="1:29">
      <c r="A101" s="748">
        <f t="shared" si="33"/>
        <v>2001</v>
      </c>
      <c r="B101" s="1700">
        <v>44.91</v>
      </c>
      <c r="C101" s="759">
        <v>2002.3504334346351</v>
      </c>
      <c r="D101" s="1113">
        <v>0</v>
      </c>
      <c r="E101" s="1100">
        <f t="shared" ref="E101:E117" si="38">D101</f>
        <v>0</v>
      </c>
      <c r="F101" s="754">
        <f t="shared" si="27"/>
        <v>0.71479999999999999</v>
      </c>
      <c r="G101" s="754">
        <f t="shared" si="28"/>
        <v>0.28959999999999997</v>
      </c>
      <c r="H101" s="755">
        <v>501</v>
      </c>
      <c r="I101" s="1297">
        <f t="shared" si="21"/>
        <v>578.73</v>
      </c>
      <c r="J101" s="1672">
        <f t="shared" si="22"/>
        <v>28.06789123869763</v>
      </c>
      <c r="K101" s="1673">
        <f t="shared" si="15"/>
        <v>25990.764299999999</v>
      </c>
      <c r="L101" s="1673">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700">
        <v>45.533000000000001</v>
      </c>
      <c r="C102" s="759">
        <v>2076.4450554986461</v>
      </c>
      <c r="D102" s="1113">
        <v>0</v>
      </c>
      <c r="E102" s="1100">
        <f t="shared" si="38"/>
        <v>0</v>
      </c>
      <c r="F102" s="754">
        <f t="shared" si="27"/>
        <v>0.71479999999999999</v>
      </c>
      <c r="G102" s="754">
        <f t="shared" si="28"/>
        <v>0.28959999999999997</v>
      </c>
      <c r="H102" s="755">
        <v>501</v>
      </c>
      <c r="I102" s="1297">
        <f t="shared" si="21"/>
        <v>578.73</v>
      </c>
      <c r="J102" s="1672">
        <f t="shared" si="22"/>
        <v>28.06789123869763</v>
      </c>
      <c r="K102" s="1673">
        <f t="shared" si="15"/>
        <v>26351.313090000003</v>
      </c>
      <c r="L102" s="1673">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700">
        <v>46.116</v>
      </c>
      <c r="C103" s="759">
        <v>2137.6810634216249</v>
      </c>
      <c r="D103" s="1113">
        <v>0</v>
      </c>
      <c r="E103" s="1100">
        <f t="shared" si="38"/>
        <v>0</v>
      </c>
      <c r="F103" s="754">
        <f t="shared" si="27"/>
        <v>0.71479999999999999</v>
      </c>
      <c r="G103" s="754">
        <f t="shared" si="28"/>
        <v>0.28959999999999997</v>
      </c>
      <c r="H103" s="755">
        <v>501</v>
      </c>
      <c r="I103" s="1297">
        <f t="shared" si="21"/>
        <v>578.73</v>
      </c>
      <c r="J103" s="1672">
        <f t="shared" si="22"/>
        <v>28.06789123869763</v>
      </c>
      <c r="K103" s="1673">
        <f t="shared" si="15"/>
        <v>26688.712680000001</v>
      </c>
      <c r="L103" s="1673">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700">
        <v>46.664999999999999</v>
      </c>
      <c r="C104" s="759">
        <v>2235.0428749750399</v>
      </c>
      <c r="D104" s="1113">
        <v>0</v>
      </c>
      <c r="E104" s="1100">
        <f t="shared" si="38"/>
        <v>0</v>
      </c>
      <c r="F104" s="754">
        <f t="shared" si="27"/>
        <v>0.71479999999999999</v>
      </c>
      <c r="G104" s="754">
        <f t="shared" si="28"/>
        <v>0.28959999999999997</v>
      </c>
      <c r="H104" s="755">
        <v>501</v>
      </c>
      <c r="I104" s="1297">
        <f t="shared" si="21"/>
        <v>578.73</v>
      </c>
      <c r="J104" s="1672">
        <f t="shared" si="22"/>
        <v>28.06789123869763</v>
      </c>
      <c r="K104" s="1673">
        <f t="shared" si="15"/>
        <v>27006.435450000001</v>
      </c>
      <c r="L104" s="1673">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700">
        <v>47.198</v>
      </c>
      <c r="C105" s="759">
        <v>2352.9873460848162</v>
      </c>
      <c r="D105" s="1113">
        <v>0</v>
      </c>
      <c r="E105" s="1100">
        <f t="shared" si="38"/>
        <v>0</v>
      </c>
      <c r="F105" s="754">
        <f t="shared" si="27"/>
        <v>0.71479999999999999</v>
      </c>
      <c r="G105" s="754">
        <f t="shared" si="28"/>
        <v>0.28959999999999997</v>
      </c>
      <c r="H105" s="755">
        <v>501</v>
      </c>
      <c r="I105" s="1297">
        <f t="shared" si="21"/>
        <v>578.73</v>
      </c>
      <c r="J105" s="1672">
        <f t="shared" si="22"/>
        <v>28.06789123869763</v>
      </c>
      <c r="K105" s="1673">
        <f t="shared" si="15"/>
        <v>27314.898540000002</v>
      </c>
      <c r="L105" s="1673">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700">
        <v>47.731000000000002</v>
      </c>
      <c r="C106" s="759">
        <v>2484.843995854224</v>
      </c>
      <c r="D106" s="1113">
        <v>0</v>
      </c>
      <c r="E106" s="1100">
        <f t="shared" si="38"/>
        <v>0</v>
      </c>
      <c r="F106" s="754">
        <f t="shared" si="27"/>
        <v>0.71479999999999999</v>
      </c>
      <c r="G106" s="754">
        <f t="shared" si="28"/>
        <v>0.28959999999999997</v>
      </c>
      <c r="H106" s="755">
        <v>501</v>
      </c>
      <c r="I106" s="1297">
        <f t="shared" si="21"/>
        <v>578.73</v>
      </c>
      <c r="J106" s="1672">
        <f t="shared" si="22"/>
        <v>28.06789123869763</v>
      </c>
      <c r="K106" s="1673">
        <f t="shared" si="15"/>
        <v>27623.361630000003</v>
      </c>
      <c r="L106" s="1673">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700">
        <v>48.256999999999998</v>
      </c>
      <c r="C107" s="759">
        <v>2618.0434591809503</v>
      </c>
      <c r="D107" s="1113">
        <v>0</v>
      </c>
      <c r="E107" s="1100">
        <f t="shared" si="38"/>
        <v>0</v>
      </c>
      <c r="F107" s="754">
        <f t="shared" si="27"/>
        <v>0.71479999999999999</v>
      </c>
      <c r="G107" s="754">
        <f t="shared" si="28"/>
        <v>0.28959999999999997</v>
      </c>
      <c r="H107" s="755">
        <v>501</v>
      </c>
      <c r="I107" s="1297">
        <f t="shared" si="21"/>
        <v>578.73</v>
      </c>
      <c r="J107" s="1672">
        <f t="shared" si="22"/>
        <v>28.06789123869763</v>
      </c>
      <c r="K107" s="1673">
        <f t="shared" si="15"/>
        <v>27927.77361</v>
      </c>
      <c r="L107" s="1673">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700">
        <v>48.792999999999999</v>
      </c>
      <c r="C108" s="759">
        <v>2701.5864496631075</v>
      </c>
      <c r="D108" s="1113">
        <v>0</v>
      </c>
      <c r="E108" s="1100">
        <f t="shared" si="38"/>
        <v>0</v>
      </c>
      <c r="F108" s="754">
        <f t="shared" si="27"/>
        <v>0.71479999999999999</v>
      </c>
      <c r="G108" s="754">
        <f t="shared" si="28"/>
        <v>0.28959999999999997</v>
      </c>
      <c r="H108" s="755">
        <v>501</v>
      </c>
      <c r="I108" s="1297">
        <f t="shared" si="21"/>
        <v>578.73</v>
      </c>
      <c r="J108" s="1672">
        <f t="shared" si="22"/>
        <v>28.06789123869763</v>
      </c>
      <c r="K108" s="1673">
        <f t="shared" si="15"/>
        <v>28237.972890000001</v>
      </c>
      <c r="L108" s="1673">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700">
        <v>49.32</v>
      </c>
      <c r="C109" s="759">
        <v>2660.0336366320498</v>
      </c>
      <c r="D109" s="1113">
        <v>0</v>
      </c>
      <c r="E109" s="1100">
        <f t="shared" si="38"/>
        <v>0</v>
      </c>
      <c r="F109" s="754">
        <f t="shared" si="27"/>
        <v>0.71479999999999999</v>
      </c>
      <c r="G109" s="754">
        <f t="shared" si="28"/>
        <v>0.28959999999999997</v>
      </c>
      <c r="H109" s="755">
        <v>501</v>
      </c>
      <c r="I109" s="1297">
        <f t="shared" si="21"/>
        <v>578.73</v>
      </c>
      <c r="J109" s="1672">
        <f t="shared" si="22"/>
        <v>28.06789123869763</v>
      </c>
      <c r="K109" s="1673">
        <f t="shared" si="15"/>
        <v>28542.963600000003</v>
      </c>
      <c r="L109" s="1673">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700">
        <v>49.87</v>
      </c>
      <c r="C110" s="759">
        <v>2740.8914987475191</v>
      </c>
      <c r="D110" s="1113">
        <v>0</v>
      </c>
      <c r="E110" s="1100">
        <f t="shared" si="38"/>
        <v>0</v>
      </c>
      <c r="F110" s="749">
        <f t="shared" si="27"/>
        <v>0.71479999999999999</v>
      </c>
      <c r="G110" s="749">
        <f t="shared" si="28"/>
        <v>0.28959999999999997</v>
      </c>
      <c r="H110" s="750">
        <v>501</v>
      </c>
      <c r="I110" s="1296">
        <f t="shared" ref="I110:I116" si="40">($I$117-$I$109)/($A$117-$A$109)+I109</f>
        <v>559.42164173673609</v>
      </c>
      <c r="J110" s="1674">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700">
        <v>51.771000000000001</v>
      </c>
      <c r="C111" s="759">
        <v>2830.9069841561718</v>
      </c>
      <c r="D111" s="1113">
        <v>0</v>
      </c>
      <c r="E111" s="1100">
        <f t="shared" si="38"/>
        <v>0</v>
      </c>
      <c r="F111" s="754">
        <f t="shared" si="27"/>
        <v>0.71479999999999999</v>
      </c>
      <c r="G111" s="754">
        <f t="shared" si="28"/>
        <v>0.28959999999999997</v>
      </c>
      <c r="H111" s="755">
        <v>501</v>
      </c>
      <c r="I111" s="1297">
        <f t="shared" si="40"/>
        <v>540.11328347347217</v>
      </c>
      <c r="J111" s="1672">
        <f t="shared" si="22"/>
        <v>28.06789123869763</v>
      </c>
      <c r="K111" s="1673">
        <f>B111*I110</f>
        <v>28961.817814352566</v>
      </c>
      <c r="L111" s="1673">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701">
        <v>52.325432882070082</v>
      </c>
      <c r="C112" s="759">
        <v>2893.5650000000564</v>
      </c>
      <c r="D112" s="1113">
        <v>0</v>
      </c>
      <c r="E112" s="1100">
        <f t="shared" si="38"/>
        <v>0</v>
      </c>
      <c r="F112" s="754">
        <f t="shared" si="27"/>
        <v>0.71479999999999999</v>
      </c>
      <c r="G112" s="754">
        <f t="shared" si="28"/>
        <v>0.28959999999999997</v>
      </c>
      <c r="H112" s="755">
        <v>501</v>
      </c>
      <c r="I112" s="1297">
        <f t="shared" si="40"/>
        <v>520.80492521020824</v>
      </c>
      <c r="J112" s="1672">
        <f t="shared" si="22"/>
        <v>28.06789123869763</v>
      </c>
      <c r="K112" s="1673">
        <f t="shared" ref="K112:K150" si="41">B112*I112</f>
        <v>27251.34315873828</v>
      </c>
      <c r="L112" s="1673">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701">
        <v>53.104386458423342</v>
      </c>
      <c r="C113" s="759">
        <v>2969.1963051355538</v>
      </c>
      <c r="D113" s="1113">
        <v>0</v>
      </c>
      <c r="E113" s="1100">
        <f t="shared" si="38"/>
        <v>0</v>
      </c>
      <c r="F113" s="754">
        <f t="shared" si="27"/>
        <v>0.71479999999999999</v>
      </c>
      <c r="G113" s="754">
        <f t="shared" si="28"/>
        <v>0.28959999999999997</v>
      </c>
      <c r="H113" s="755">
        <v>501</v>
      </c>
      <c r="I113" s="1297">
        <f t="shared" si="40"/>
        <v>501.49656694694431</v>
      </c>
      <c r="J113" s="1672">
        <f t="shared" si="22"/>
        <v>28.06789123869763</v>
      </c>
      <c r="K113" s="1673">
        <f t="shared" si="41"/>
        <v>26631.667498723105</v>
      </c>
      <c r="L113" s="1673">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701">
        <v>53.912365691429272</v>
      </c>
      <c r="C114" s="759">
        <v>3022.2173632302474</v>
      </c>
      <c r="D114" s="1113">
        <v>0</v>
      </c>
      <c r="E114" s="1100">
        <f t="shared" si="38"/>
        <v>0</v>
      </c>
      <c r="F114" s="754">
        <f t="shared" si="27"/>
        <v>0.71479999999999999</v>
      </c>
      <c r="G114" s="754">
        <f t="shared" si="28"/>
        <v>0.28959999999999997</v>
      </c>
      <c r="H114" s="755">
        <v>501</v>
      </c>
      <c r="I114" s="1297">
        <f t="shared" si="40"/>
        <v>482.18820868368039</v>
      </c>
      <c r="J114" s="1672">
        <f t="shared" si="22"/>
        <v>28.06789123869763</v>
      </c>
      <c r="K114" s="1673">
        <f t="shared" si="41"/>
        <v>25995.907038649788</v>
      </c>
      <c r="L114" s="1673">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701">
        <v>54.750491457321111</v>
      </c>
      <c r="C115" s="759">
        <v>3060.2316404410249</v>
      </c>
      <c r="D115" s="1113">
        <v>0</v>
      </c>
      <c r="E115" s="1100">
        <f t="shared" si="38"/>
        <v>0</v>
      </c>
      <c r="F115" s="754">
        <f t="shared" si="27"/>
        <v>0.71479999999999999</v>
      </c>
      <c r="G115" s="754">
        <f t="shared" si="28"/>
        <v>0.28959999999999997</v>
      </c>
      <c r="H115" s="755">
        <v>501</v>
      </c>
      <c r="I115" s="1297">
        <f t="shared" si="40"/>
        <v>462.87985042041646</v>
      </c>
      <c r="J115" s="1672">
        <f t="shared" ref="J115:J116" si="45">J114</f>
        <v>28.06789123869763</v>
      </c>
      <c r="K115" s="1673">
        <f t="shared" si="41"/>
        <v>25342.899296209085</v>
      </c>
      <c r="L115" s="1673">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701">
        <v>55.619940469824826</v>
      </c>
      <c r="C116" s="759">
        <v>3082.8658989519636</v>
      </c>
      <c r="D116" s="1113">
        <v>0</v>
      </c>
      <c r="E116" s="1100">
        <f t="shared" si="38"/>
        <v>0</v>
      </c>
      <c r="F116" s="754">
        <f t="shared" ref="F116:F117" si="48">F115</f>
        <v>0.71479999999999999</v>
      </c>
      <c r="G116" s="754">
        <f t="shared" ref="G116:G117" si="49">G115</f>
        <v>0.28959999999999997</v>
      </c>
      <c r="H116" s="755">
        <v>501</v>
      </c>
      <c r="I116" s="1297">
        <f t="shared" si="40"/>
        <v>443.57149215715253</v>
      </c>
      <c r="J116" s="1672">
        <f t="shared" si="45"/>
        <v>28.06789123869763</v>
      </c>
      <c r="K116" s="1673">
        <f t="shared" si="41"/>
        <v>24671.419987892194</v>
      </c>
      <c r="L116" s="1673">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c r="A117" s="748">
        <f>A116+1</f>
        <v>2017</v>
      </c>
      <c r="B117" s="1701">
        <v>56.521948041648095</v>
      </c>
      <c r="C117" s="759">
        <v>3117.5115237718705</v>
      </c>
      <c r="D117" s="751">
        <f>'Waste Summary 2017 SASOW'!J10+'Waste Summary 2017 SASOW'!J13</f>
        <v>49995051</v>
      </c>
      <c r="E117" s="1113">
        <f t="shared" si="38"/>
        <v>49995051</v>
      </c>
      <c r="F117" s="749">
        <f t="shared" si="48"/>
        <v>0.71479999999999999</v>
      </c>
      <c r="G117" s="749">
        <f t="shared" si="49"/>
        <v>0.28959999999999997</v>
      </c>
      <c r="H117" s="750">
        <v>501</v>
      </c>
      <c r="I117" s="1296">
        <f>C4</f>
        <v>424.26313389388866</v>
      </c>
      <c r="J117" s="1697">
        <f>$C$6</f>
        <v>12.031045626813224</v>
      </c>
      <c r="K117" s="751">
        <f t="shared" si="41"/>
        <v>23980.178809937162</v>
      </c>
      <c r="L117" s="751">
        <f>C117*J117*1000/1000+D117/1000</f>
        <v>87501.974384615402</v>
      </c>
      <c r="M117" s="752">
        <f>C117*J117*1000/1000+E117/1000</f>
        <v>87501.974384615402</v>
      </c>
      <c r="N117" s="749">
        <f t="shared" si="46"/>
        <v>0.19892488097366726</v>
      </c>
      <c r="O117" s="749">
        <f t="shared" si="46"/>
        <v>0.26585903447659598</v>
      </c>
      <c r="P117" s="749">
        <f t="shared" si="46"/>
        <v>8.9228108703258049E-2</v>
      </c>
      <c r="Q117" s="749">
        <f t="shared" si="46"/>
        <v>0</v>
      </c>
      <c r="R117" s="749">
        <f t="shared" si="46"/>
        <v>0</v>
      </c>
      <c r="S117" s="749">
        <f t="shared" si="46"/>
        <v>0</v>
      </c>
      <c r="T117" s="749">
        <f t="shared" si="46"/>
        <v>0.4459879758464787</v>
      </c>
      <c r="U117" s="753">
        <f t="shared" si="43"/>
        <v>1</v>
      </c>
      <c r="V117" s="749">
        <f t="shared" si="50"/>
        <v>0.29028184578274857</v>
      </c>
      <c r="W117" s="749">
        <f t="shared" si="50"/>
        <v>0.30317187715157518</v>
      </c>
      <c r="X117" s="749">
        <f t="shared" si="50"/>
        <v>8.2805443243048754E-2</v>
      </c>
      <c r="Y117" s="749">
        <f t="shared" si="50"/>
        <v>0</v>
      </c>
      <c r="Z117" s="749">
        <f t="shared" si="50"/>
        <v>0</v>
      </c>
      <c r="AA117" s="749">
        <f t="shared" si="50"/>
        <v>0</v>
      </c>
      <c r="AB117" s="749">
        <f t="shared" si="50"/>
        <v>0.32374083382262742</v>
      </c>
      <c r="AC117" s="753">
        <f t="shared" si="47"/>
        <v>0.99999999999999989</v>
      </c>
    </row>
    <row r="118" spans="1:29" ht="16.5" thickBot="1">
      <c r="A118" s="1695">
        <f t="shared" si="44"/>
        <v>2018</v>
      </c>
      <c r="B118" s="1702">
        <v>57.436000617299655</v>
      </c>
      <c r="C118" s="1698">
        <v>3154.0370052724184</v>
      </c>
      <c r="D118" s="1675">
        <v>50359792.847133137</v>
      </c>
      <c r="E118" s="1676">
        <f>D118</f>
        <v>50359792.847133137</v>
      </c>
      <c r="F118" s="1696"/>
      <c r="G118" s="1677"/>
      <c r="H118" s="1678"/>
      <c r="I118" s="1679">
        <f t="shared" ref="I118:I150" si="51">I117</f>
        <v>424.26313389388866</v>
      </c>
      <c r="J118" s="1680">
        <f>$C$6</f>
        <v>12.031045626813224</v>
      </c>
      <c r="K118" s="1675">
        <f>B118*I118</f>
        <v>24367.977620226877</v>
      </c>
      <c r="L118" s="1675">
        <f>C118*J118+D118/1000</f>
        <v>88306.155966222956</v>
      </c>
      <c r="M118" s="1681">
        <f>C118*J118*1000/1000+E118/1000</f>
        <v>88306.155966222956</v>
      </c>
      <c r="N118" s="1696">
        <f t="shared" si="46"/>
        <v>0.19892488097366726</v>
      </c>
      <c r="O118" s="1677">
        <f t="shared" si="46"/>
        <v>0.26585903447659598</v>
      </c>
      <c r="P118" s="1677">
        <f t="shared" si="46"/>
        <v>8.9228108703258049E-2</v>
      </c>
      <c r="Q118" s="1677">
        <f t="shared" si="46"/>
        <v>0</v>
      </c>
      <c r="R118" s="1677">
        <f t="shared" si="46"/>
        <v>0</v>
      </c>
      <c r="S118" s="1677">
        <f t="shared" si="46"/>
        <v>0</v>
      </c>
      <c r="T118" s="1677">
        <f t="shared" si="46"/>
        <v>0.4459879758464787</v>
      </c>
      <c r="U118" s="1682">
        <f t="shared" si="43"/>
        <v>1</v>
      </c>
      <c r="V118" s="1696">
        <f t="shared" si="50"/>
        <v>0.29028184578274857</v>
      </c>
      <c r="W118" s="1677">
        <f t="shared" si="50"/>
        <v>0.30317187715157518</v>
      </c>
      <c r="X118" s="1677">
        <f t="shared" si="50"/>
        <v>8.2805443243048754E-2</v>
      </c>
      <c r="Y118" s="1677">
        <f t="shared" si="50"/>
        <v>0</v>
      </c>
      <c r="Z118" s="1677">
        <f t="shared" si="50"/>
        <v>0</v>
      </c>
      <c r="AA118" s="1677">
        <f t="shared" si="50"/>
        <v>0</v>
      </c>
      <c r="AB118" s="1677">
        <f t="shared" si="50"/>
        <v>0.32374083382262742</v>
      </c>
      <c r="AC118" s="1682">
        <f t="shared" si="47"/>
        <v>0.99999999999999989</v>
      </c>
    </row>
    <row r="119" spans="1:29">
      <c r="A119" s="187">
        <f t="shared" si="44"/>
        <v>2019</v>
      </c>
      <c r="B119" s="1656">
        <f>INDEX(Drivers!$A$8:$AM$8,1,$A119-2018)/1000</f>
        <v>58.364834921819444</v>
      </c>
      <c r="C119" s="1660">
        <f>INDEX(Drivers!$A$16:$AM$16,1,$A119-2018)</f>
        <v>4436.7667702662829</v>
      </c>
      <c r="D119" s="1657">
        <f>INDEX(Drivers!$A$25:$AM$25,1,$A119-2018)/INDEX(Drivers!$A$25:$AM$25,1,$A119-2019)*D118</f>
        <v>53495734.497914702</v>
      </c>
      <c r="E119" s="762">
        <f t="shared" ref="E119:E150" si="52">D119</f>
        <v>53495734.497914702</v>
      </c>
      <c r="F119" s="1120"/>
      <c r="G119" s="1120"/>
      <c r="H119" s="1121"/>
      <c r="I119" s="1292">
        <f t="shared" si="51"/>
        <v>424.26313389388866</v>
      </c>
      <c r="J119" s="1293">
        <f t="shared" ref="J119:J150" si="53">$C$6</f>
        <v>12.031045626813224</v>
      </c>
      <c r="K119" s="1294">
        <f t="shared" si="41"/>
        <v>24762.047773130591</v>
      </c>
      <c r="L119" s="1294">
        <f t="shared" ref="L119:L150" si="54">C119*J119*1000/1000+D119/1000</f>
        <v>106874.6779465171</v>
      </c>
      <c r="M119" s="1295">
        <f t="shared" ref="M119:M150" si="55">C119*J119*1000/1000+E119/1000</f>
        <v>106874.6779465171</v>
      </c>
      <c r="N119" s="1249">
        <f t="shared" si="46"/>
        <v>0.19892488097366726</v>
      </c>
      <c r="O119" s="1249">
        <f t="shared" si="46"/>
        <v>0.26585903447659598</v>
      </c>
      <c r="P119" s="1249">
        <f t="shared" si="46"/>
        <v>8.9228108703258049E-2</v>
      </c>
      <c r="Q119" s="1249">
        <f t="shared" si="46"/>
        <v>0</v>
      </c>
      <c r="R119" s="1249">
        <f t="shared" si="46"/>
        <v>0</v>
      </c>
      <c r="S119" s="1249">
        <f t="shared" si="46"/>
        <v>0</v>
      </c>
      <c r="T119" s="1249">
        <f t="shared" si="46"/>
        <v>0.4459879758464787</v>
      </c>
      <c r="U119" s="1282">
        <f t="shared" si="43"/>
        <v>1</v>
      </c>
      <c r="V119" s="1283">
        <f t="shared" si="50"/>
        <v>0.29028184578274857</v>
      </c>
      <c r="W119" s="1249">
        <f t="shared" si="50"/>
        <v>0.30317187715157518</v>
      </c>
      <c r="X119" s="1249">
        <f t="shared" si="50"/>
        <v>8.2805443243048754E-2</v>
      </c>
      <c r="Y119" s="1249">
        <f t="shared" si="50"/>
        <v>0</v>
      </c>
      <c r="Z119" s="1249">
        <f t="shared" si="50"/>
        <v>0</v>
      </c>
      <c r="AA119" s="1249">
        <f t="shared" si="50"/>
        <v>0</v>
      </c>
      <c r="AB119" s="1249">
        <f t="shared" si="50"/>
        <v>0.32374083382262742</v>
      </c>
      <c r="AC119" s="1282">
        <f t="shared" si="47"/>
        <v>0.99999999999999989</v>
      </c>
    </row>
    <row r="120" spans="1:29">
      <c r="A120" s="187">
        <f t="shared" si="44"/>
        <v>2020</v>
      </c>
      <c r="B120" s="1656">
        <f>INDEX(Drivers!$A$8:$AM$8,1,$A120-2018)/1000</f>
        <v>59.308690000000006</v>
      </c>
      <c r="C120" s="1660">
        <f>INDEX(Drivers!$A$16:$AM$16,1,$A120-2018)</f>
        <v>4156.6412676508144</v>
      </c>
      <c r="D120" s="1657">
        <f>INDEX(Drivers!$A$25:$AM$25,1,$A120-2018)/INDEX(Drivers!$A$25:$AM$25,1,$A120-2019)*D119</f>
        <v>51132056.241912685</v>
      </c>
      <c r="E120" s="762">
        <f t="shared" si="52"/>
        <v>51132056.241912685</v>
      </c>
      <c r="F120" s="1120"/>
      <c r="G120" s="1120"/>
      <c r="H120" s="1121"/>
      <c r="I120" s="1292">
        <f t="shared" si="51"/>
        <v>424.26313389388866</v>
      </c>
      <c r="J120" s="1293">
        <f t="shared" si="53"/>
        <v>12.031045626813224</v>
      </c>
      <c r="K120" s="1294">
        <f t="shared" si="41"/>
        <v>25162.490686541139</v>
      </c>
      <c r="L120" s="1294">
        <f t="shared" si="54"/>
        <v>101140.79698731439</v>
      </c>
      <c r="M120" s="1295">
        <f t="shared" si="55"/>
        <v>101140.79698731439</v>
      </c>
      <c r="N120" s="1249">
        <f t="shared" si="46"/>
        <v>0.19892488097366726</v>
      </c>
      <c r="O120" s="1249">
        <f t="shared" si="46"/>
        <v>0.26585903447659598</v>
      </c>
      <c r="P120" s="1249">
        <f t="shared" si="46"/>
        <v>8.9228108703258049E-2</v>
      </c>
      <c r="Q120" s="1249">
        <f t="shared" si="46"/>
        <v>0</v>
      </c>
      <c r="R120" s="1249">
        <f t="shared" si="46"/>
        <v>0</v>
      </c>
      <c r="S120" s="1249">
        <f t="shared" si="46"/>
        <v>0</v>
      </c>
      <c r="T120" s="1249">
        <f t="shared" si="46"/>
        <v>0.4459879758464787</v>
      </c>
      <c r="U120" s="1282">
        <f t="shared" si="43"/>
        <v>1</v>
      </c>
      <c r="V120" s="1283">
        <f t="shared" si="50"/>
        <v>0.29028184578274857</v>
      </c>
      <c r="W120" s="1249">
        <f t="shared" si="50"/>
        <v>0.30317187715157518</v>
      </c>
      <c r="X120" s="1249">
        <f t="shared" si="50"/>
        <v>8.2805443243048754E-2</v>
      </c>
      <c r="Y120" s="1249">
        <f t="shared" si="50"/>
        <v>0</v>
      </c>
      <c r="Z120" s="1249">
        <f t="shared" si="50"/>
        <v>0</v>
      </c>
      <c r="AA120" s="1249">
        <f t="shared" si="50"/>
        <v>0</v>
      </c>
      <c r="AB120" s="1249">
        <f t="shared" si="50"/>
        <v>0.32374083382262742</v>
      </c>
      <c r="AC120" s="1282">
        <f t="shared" si="47"/>
        <v>0.99999999999999989</v>
      </c>
    </row>
    <row r="121" spans="1:29">
      <c r="A121" s="187">
        <f t="shared" si="44"/>
        <v>2021</v>
      </c>
      <c r="B121" s="1656">
        <f>INDEX(Drivers!$A$8:$AM$8,1,$A121-2018)/1000</f>
        <v>59.991580449204264</v>
      </c>
      <c r="C121" s="1660">
        <f>INDEX(Drivers!$A$16:$AM$16,1,$A121-2018)</f>
        <v>4293.1482366506107</v>
      </c>
      <c r="D121" s="1657">
        <f>INDEX(Drivers!$A$25:$AM$25,1,$A121-2018)/INDEX(Drivers!$A$25:$AM$25,1,$A121-2019)*D120</f>
        <v>51275503.644747034</v>
      </c>
      <c r="E121" s="762">
        <f t="shared" si="52"/>
        <v>51275503.644747034</v>
      </c>
      <c r="F121" s="1120"/>
      <c r="G121" s="1120"/>
      <c r="H121" s="1121"/>
      <c r="I121" s="1292">
        <f t="shared" si="51"/>
        <v>424.26313389388866</v>
      </c>
      <c r="J121" s="1293">
        <f t="shared" si="53"/>
        <v>12.031045626813224</v>
      </c>
      <c r="K121" s="1294">
        <f t="shared" si="41"/>
        <v>25452.215928626742</v>
      </c>
      <c r="L121" s="1294">
        <f t="shared" si="54"/>
        <v>102926.56596256327</v>
      </c>
      <c r="M121" s="1295">
        <f t="shared" si="55"/>
        <v>102926.56596256327</v>
      </c>
      <c r="N121" s="1249">
        <f t="shared" si="46"/>
        <v>0.19892488097366726</v>
      </c>
      <c r="O121" s="1249">
        <f t="shared" si="46"/>
        <v>0.26585903447659598</v>
      </c>
      <c r="P121" s="1249">
        <f t="shared" si="46"/>
        <v>8.9228108703258049E-2</v>
      </c>
      <c r="Q121" s="1249">
        <f t="shared" si="46"/>
        <v>0</v>
      </c>
      <c r="R121" s="1249">
        <f t="shared" si="46"/>
        <v>0</v>
      </c>
      <c r="S121" s="1249">
        <f t="shared" si="46"/>
        <v>0</v>
      </c>
      <c r="T121" s="1249">
        <f t="shared" si="46"/>
        <v>0.4459879758464787</v>
      </c>
      <c r="U121" s="1282">
        <f t="shared" si="43"/>
        <v>1</v>
      </c>
      <c r="V121" s="1283">
        <f t="shared" si="50"/>
        <v>0.29028184578274857</v>
      </c>
      <c r="W121" s="1249">
        <f t="shared" si="50"/>
        <v>0.30317187715157518</v>
      </c>
      <c r="X121" s="1249">
        <f t="shared" si="50"/>
        <v>8.2805443243048754E-2</v>
      </c>
      <c r="Y121" s="1249">
        <f t="shared" si="50"/>
        <v>0</v>
      </c>
      <c r="Z121" s="1249">
        <f t="shared" si="50"/>
        <v>0</v>
      </c>
      <c r="AA121" s="1249">
        <f t="shared" si="50"/>
        <v>0</v>
      </c>
      <c r="AB121" s="1249">
        <f t="shared" si="50"/>
        <v>0.32374083382262742</v>
      </c>
      <c r="AC121" s="1282">
        <f t="shared" si="47"/>
        <v>0.99999999999999989</v>
      </c>
    </row>
    <row r="122" spans="1:29">
      <c r="A122" s="187">
        <f t="shared" si="44"/>
        <v>2022</v>
      </c>
      <c r="B122" s="1656">
        <f>INDEX(Drivers!$A$8:$AM$8,1,$A122-2018)/1000</f>
        <v>60.682333816399378</v>
      </c>
      <c r="C122" s="1660">
        <f>INDEX(Drivers!$A$16:$AM$16,1,$A122-2018)</f>
        <v>4403.1093139322493</v>
      </c>
      <c r="D122" s="1657">
        <f>INDEX(Drivers!$A$25:$AM$25,1,$A122-2018)/INDEX(Drivers!$A$25:$AM$25,1,$A122-2019)*D121</f>
        <v>50359792.847133137</v>
      </c>
      <c r="E122" s="762">
        <f t="shared" si="52"/>
        <v>50359792.847133137</v>
      </c>
      <c r="F122" s="1120"/>
      <c r="G122" s="1120"/>
      <c r="H122" s="1121"/>
      <c r="I122" s="1292">
        <f t="shared" si="51"/>
        <v>424.26313389388866</v>
      </c>
      <c r="J122" s="1293">
        <f t="shared" si="53"/>
        <v>12.031045626813224</v>
      </c>
      <c r="K122" s="1294">
        <f t="shared" si="41"/>
        <v>25745.277116940699</v>
      </c>
      <c r="L122" s="1294">
        <f t="shared" si="54"/>
        <v>103333.8019028983</v>
      </c>
      <c r="M122" s="1295">
        <f t="shared" si="55"/>
        <v>103333.8019028983</v>
      </c>
      <c r="N122" s="1249">
        <f t="shared" si="46"/>
        <v>0.19892488097366726</v>
      </c>
      <c r="O122" s="1249">
        <f t="shared" si="46"/>
        <v>0.26585903447659598</v>
      </c>
      <c r="P122" s="1249">
        <f t="shared" si="46"/>
        <v>8.9228108703258049E-2</v>
      </c>
      <c r="Q122" s="1249">
        <f t="shared" si="46"/>
        <v>0</v>
      </c>
      <c r="R122" s="1249">
        <f t="shared" si="46"/>
        <v>0</v>
      </c>
      <c r="S122" s="1249">
        <f t="shared" si="46"/>
        <v>0</v>
      </c>
      <c r="T122" s="1249">
        <f t="shared" si="46"/>
        <v>0.4459879758464787</v>
      </c>
      <c r="U122" s="1282">
        <f t="shared" si="43"/>
        <v>1</v>
      </c>
      <c r="V122" s="1283">
        <f t="shared" si="50"/>
        <v>0.29028184578274857</v>
      </c>
      <c r="W122" s="1249">
        <f t="shared" si="50"/>
        <v>0.30317187715157518</v>
      </c>
      <c r="X122" s="1249">
        <f t="shared" si="50"/>
        <v>8.2805443243048754E-2</v>
      </c>
      <c r="Y122" s="1249">
        <f t="shared" si="50"/>
        <v>0</v>
      </c>
      <c r="Z122" s="1249">
        <f t="shared" si="50"/>
        <v>0</v>
      </c>
      <c r="AA122" s="1249">
        <f t="shared" si="50"/>
        <v>0</v>
      </c>
      <c r="AB122" s="1249">
        <f t="shared" si="50"/>
        <v>0.32374083382262742</v>
      </c>
      <c r="AC122" s="1282">
        <f t="shared" si="47"/>
        <v>0.99999999999999989</v>
      </c>
    </row>
    <row r="123" spans="1:29">
      <c r="A123" s="187">
        <f t="shared" si="44"/>
        <v>2023</v>
      </c>
      <c r="B123" s="1656">
        <f>INDEX(Drivers!$A$8:$AM$8,1,$A123-2018)/1000</f>
        <v>61.381040636574369</v>
      </c>
      <c r="C123" s="1660">
        <f>INDEX(Drivers!$A$16:$AM$16,1,$A123-2018)</f>
        <v>4507.0199361395535</v>
      </c>
      <c r="D123" s="1657">
        <f>INDEX(Drivers!$A$25:$AM$25,1,$A123-2018)/INDEX(Drivers!$A$25:$AM$25,1,$A123-2019)*D122</f>
        <v>49986151.288104504</v>
      </c>
      <c r="E123" s="762">
        <f t="shared" si="52"/>
        <v>49986151.288104504</v>
      </c>
      <c r="F123" s="1120"/>
      <c r="G123" s="1120"/>
      <c r="H123" s="1121"/>
      <c r="I123" s="1292">
        <f t="shared" si="51"/>
        <v>424.26313389388866</v>
      </c>
      <c r="J123" s="1293">
        <f t="shared" si="53"/>
        <v>12.031045626813224</v>
      </c>
      <c r="K123" s="1294">
        <f t="shared" si="41"/>
        <v>26041.712662141173</v>
      </c>
      <c r="L123" s="1294">
        <f t="shared" si="54"/>
        <v>104210.31378075629</v>
      </c>
      <c r="M123" s="1295">
        <f t="shared" si="55"/>
        <v>104210.31378075629</v>
      </c>
      <c r="N123" s="1249">
        <f t="shared" si="46"/>
        <v>0.19892488097366726</v>
      </c>
      <c r="O123" s="1249">
        <f t="shared" si="46"/>
        <v>0.26585903447659598</v>
      </c>
      <c r="P123" s="1249">
        <f t="shared" si="46"/>
        <v>8.9228108703258049E-2</v>
      </c>
      <c r="Q123" s="1249">
        <f t="shared" si="46"/>
        <v>0</v>
      </c>
      <c r="R123" s="1249">
        <f t="shared" si="46"/>
        <v>0</v>
      </c>
      <c r="S123" s="1249">
        <f t="shared" si="46"/>
        <v>0</v>
      </c>
      <c r="T123" s="1249">
        <f t="shared" si="46"/>
        <v>0.4459879758464787</v>
      </c>
      <c r="U123" s="1282">
        <f t="shared" si="43"/>
        <v>1</v>
      </c>
      <c r="V123" s="1283">
        <f t="shared" si="50"/>
        <v>0.29028184578274857</v>
      </c>
      <c r="W123" s="1249">
        <f t="shared" si="50"/>
        <v>0.30317187715157518</v>
      </c>
      <c r="X123" s="1249">
        <f t="shared" si="50"/>
        <v>8.2805443243048754E-2</v>
      </c>
      <c r="Y123" s="1249">
        <f t="shared" si="50"/>
        <v>0</v>
      </c>
      <c r="Z123" s="1249">
        <f t="shared" si="50"/>
        <v>0</v>
      </c>
      <c r="AA123" s="1249">
        <f t="shared" si="50"/>
        <v>0</v>
      </c>
      <c r="AB123" s="1249">
        <f t="shared" si="50"/>
        <v>0.32374083382262742</v>
      </c>
      <c r="AC123" s="1282">
        <f t="shared" si="47"/>
        <v>0.99999999999999989</v>
      </c>
    </row>
    <row r="124" spans="1:29">
      <c r="A124" s="187">
        <f t="shared" si="44"/>
        <v>2024</v>
      </c>
      <c r="B124" s="1656">
        <f>INDEX(Drivers!$A$8:$AM$8,1,$A124-2018)/1000</f>
        <v>62.087792487153699</v>
      </c>
      <c r="C124" s="1660">
        <f>INDEX(Drivers!$A$16:$AM$16,1,$A124-2018)</f>
        <v>4624.8292728728675</v>
      </c>
      <c r="D124" s="1657">
        <f>INDEX(Drivers!$A$25:$AM$25,1,$A124-2018)/INDEX(Drivers!$A$25:$AM$25,1,$A124-2019)*D123</f>
        <v>51073828.378576256</v>
      </c>
      <c r="E124" s="762">
        <f t="shared" si="52"/>
        <v>51073828.378576256</v>
      </c>
      <c r="F124" s="1120"/>
      <c r="G124" s="1120"/>
      <c r="H124" s="1121"/>
      <c r="I124" s="1292">
        <f t="shared" si="51"/>
        <v>424.26313389388866</v>
      </c>
      <c r="J124" s="1293">
        <f t="shared" si="53"/>
        <v>12.031045626813224</v>
      </c>
      <c r="K124" s="1294">
        <f t="shared" si="41"/>
        <v>26341.561417153265</v>
      </c>
      <c r="L124" s="1294">
        <f t="shared" si="54"/>
        <v>106715.36037673114</v>
      </c>
      <c r="M124" s="1295">
        <f t="shared" si="55"/>
        <v>106715.36037673114</v>
      </c>
      <c r="N124" s="1249">
        <f t="shared" si="46"/>
        <v>0.19892488097366726</v>
      </c>
      <c r="O124" s="1249">
        <f t="shared" si="46"/>
        <v>0.26585903447659598</v>
      </c>
      <c r="P124" s="1249">
        <f t="shared" si="46"/>
        <v>8.9228108703258049E-2</v>
      </c>
      <c r="Q124" s="1249">
        <f t="shared" si="46"/>
        <v>0</v>
      </c>
      <c r="R124" s="1249">
        <f t="shared" si="46"/>
        <v>0</v>
      </c>
      <c r="S124" s="1249">
        <f t="shared" si="46"/>
        <v>0</v>
      </c>
      <c r="T124" s="1249">
        <f t="shared" si="46"/>
        <v>0.4459879758464787</v>
      </c>
      <c r="U124" s="1282">
        <f t="shared" si="43"/>
        <v>1</v>
      </c>
      <c r="V124" s="1283">
        <f t="shared" si="50"/>
        <v>0.29028184578274857</v>
      </c>
      <c r="W124" s="1249">
        <f t="shared" si="50"/>
        <v>0.30317187715157518</v>
      </c>
      <c r="X124" s="1249">
        <f t="shared" si="50"/>
        <v>8.2805443243048754E-2</v>
      </c>
      <c r="Y124" s="1249">
        <f t="shared" si="50"/>
        <v>0</v>
      </c>
      <c r="Z124" s="1249">
        <f t="shared" si="50"/>
        <v>0</v>
      </c>
      <c r="AA124" s="1249">
        <f t="shared" si="50"/>
        <v>0</v>
      </c>
      <c r="AB124" s="1249">
        <f t="shared" si="50"/>
        <v>0.32374083382262742</v>
      </c>
      <c r="AC124" s="1282">
        <f t="shared" si="47"/>
        <v>0.99999999999999989</v>
      </c>
    </row>
    <row r="125" spans="1:29">
      <c r="A125" s="187">
        <f t="shared" si="44"/>
        <v>2025</v>
      </c>
      <c r="B125" s="1656">
        <f>INDEX(Drivers!$A$8:$AM$8,1,$A125-2018)/1000</f>
        <v>62.802682000000026</v>
      </c>
      <c r="C125" s="1660">
        <f>INDEX(Drivers!$A$16:$AM$16,1,$A125-2018)</f>
        <v>4737.3047749260231</v>
      </c>
      <c r="D125" s="1657">
        <f>INDEX(Drivers!$A$25:$AM$25,1,$A125-2018)/INDEX(Drivers!$A$25:$AM$25,1,$A125-2019)*D124</f>
        <v>51201731.8667503</v>
      </c>
      <c r="E125" s="762">
        <f t="shared" si="52"/>
        <v>51201731.8667503</v>
      </c>
      <c r="F125" s="1120"/>
      <c r="G125" s="1120"/>
      <c r="H125" s="1121"/>
      <c r="I125" s="1292">
        <f t="shared" si="51"/>
        <v>424.26313389388866</v>
      </c>
      <c r="J125" s="1293">
        <f t="shared" si="53"/>
        <v>12.031045626813224</v>
      </c>
      <c r="K125" s="1294">
        <f t="shared" si="41"/>
        <v>26644.862682261322</v>
      </c>
      <c r="L125" s="1294">
        <f t="shared" si="54"/>
        <v>108196.46176200543</v>
      </c>
      <c r="M125" s="1295">
        <f t="shared" si="55"/>
        <v>108196.46176200543</v>
      </c>
      <c r="N125" s="1249">
        <f t="shared" si="46"/>
        <v>0.19892488097366726</v>
      </c>
      <c r="O125" s="1249">
        <f t="shared" si="46"/>
        <v>0.26585903447659598</v>
      </c>
      <c r="P125" s="1249">
        <f t="shared" si="46"/>
        <v>8.9228108703258049E-2</v>
      </c>
      <c r="Q125" s="1249">
        <f t="shared" si="46"/>
        <v>0</v>
      </c>
      <c r="R125" s="1249">
        <f t="shared" si="46"/>
        <v>0</v>
      </c>
      <c r="S125" s="1249">
        <f t="shared" si="46"/>
        <v>0</v>
      </c>
      <c r="T125" s="1249">
        <f t="shared" si="46"/>
        <v>0.4459879758464787</v>
      </c>
      <c r="U125" s="1282">
        <f t="shared" si="43"/>
        <v>1</v>
      </c>
      <c r="V125" s="1283">
        <f t="shared" si="50"/>
        <v>0.29028184578274857</v>
      </c>
      <c r="W125" s="1249">
        <f t="shared" si="50"/>
        <v>0.30317187715157518</v>
      </c>
      <c r="X125" s="1249">
        <f t="shared" si="50"/>
        <v>8.2805443243048754E-2</v>
      </c>
      <c r="Y125" s="1249">
        <f t="shared" si="50"/>
        <v>0</v>
      </c>
      <c r="Z125" s="1249">
        <f t="shared" si="50"/>
        <v>0</v>
      </c>
      <c r="AA125" s="1249">
        <f t="shared" si="50"/>
        <v>0</v>
      </c>
      <c r="AB125" s="1249">
        <f t="shared" si="50"/>
        <v>0.32374083382262742</v>
      </c>
      <c r="AC125" s="1282">
        <f t="shared" si="47"/>
        <v>0.99999999999999989</v>
      </c>
    </row>
    <row r="126" spans="1:29">
      <c r="A126" s="187">
        <f t="shared" si="44"/>
        <v>2026</v>
      </c>
      <c r="B126" s="1656">
        <f>INDEX(Drivers!$A$8:$AM$8,1,$A126-2018)/1000</f>
        <v>63.421065342005143</v>
      </c>
      <c r="C126" s="1660">
        <f>INDEX(Drivers!$A$16:$AM$16,1,$A126-2018)</f>
        <v>4839.0369685354799</v>
      </c>
      <c r="D126" s="1657">
        <f>INDEX(Drivers!$A$25:$AM$25,1,$A126-2018)/INDEX(Drivers!$A$25:$AM$25,1,$A126-2019)*D125</f>
        <v>50537069.53539668</v>
      </c>
      <c r="E126" s="762">
        <f t="shared" si="52"/>
        <v>50537069.53539668</v>
      </c>
      <c r="F126" s="1120"/>
      <c r="G126" s="1120"/>
      <c r="H126" s="1121"/>
      <c r="I126" s="1292">
        <f t="shared" si="51"/>
        <v>424.26313389388866</v>
      </c>
      <c r="J126" s="1293">
        <f t="shared" si="53"/>
        <v>12.031045626813224</v>
      </c>
      <c r="K126" s="1294">
        <f t="shared" si="41"/>
        <v>26907.219936888188</v>
      </c>
      <c r="L126" s="1294">
        <f t="shared" si="54"/>
        <v>108755.744093683</v>
      </c>
      <c r="M126" s="1295">
        <f t="shared" si="55"/>
        <v>108755.744093683</v>
      </c>
      <c r="N126" s="1249">
        <f t="shared" si="46"/>
        <v>0.19892488097366726</v>
      </c>
      <c r="O126" s="1249">
        <f t="shared" si="46"/>
        <v>0.26585903447659598</v>
      </c>
      <c r="P126" s="1249">
        <f t="shared" si="46"/>
        <v>8.9228108703258049E-2</v>
      </c>
      <c r="Q126" s="1249">
        <f t="shared" si="46"/>
        <v>0</v>
      </c>
      <c r="R126" s="1249">
        <f t="shared" si="46"/>
        <v>0</v>
      </c>
      <c r="S126" s="1249">
        <f t="shared" si="46"/>
        <v>0</v>
      </c>
      <c r="T126" s="1249">
        <f t="shared" si="46"/>
        <v>0.4459879758464787</v>
      </c>
      <c r="U126" s="1282">
        <f t="shared" si="43"/>
        <v>1</v>
      </c>
      <c r="V126" s="1283">
        <f t="shared" si="50"/>
        <v>0.29028184578274857</v>
      </c>
      <c r="W126" s="1249">
        <f t="shared" si="50"/>
        <v>0.30317187715157518</v>
      </c>
      <c r="X126" s="1249">
        <f t="shared" si="50"/>
        <v>8.2805443243048754E-2</v>
      </c>
      <c r="Y126" s="1249">
        <f t="shared" si="50"/>
        <v>0</v>
      </c>
      <c r="Z126" s="1249">
        <f t="shared" si="50"/>
        <v>0</v>
      </c>
      <c r="AA126" s="1249">
        <f t="shared" si="50"/>
        <v>0</v>
      </c>
      <c r="AB126" s="1249">
        <f t="shared" si="50"/>
        <v>0.32374083382262742</v>
      </c>
      <c r="AC126" s="1282">
        <f t="shared" si="47"/>
        <v>0.99999999999999989</v>
      </c>
    </row>
    <row r="127" spans="1:29">
      <c r="A127" s="187">
        <f t="shared" si="44"/>
        <v>2027</v>
      </c>
      <c r="B127" s="1656">
        <f>INDEX(Drivers!$A$8:$AM$8,1,$A127-2018)/1000</f>
        <v>64.045537563425796</v>
      </c>
      <c r="C127" s="1660">
        <f>INDEX(Drivers!$A$16:$AM$16,1,$A127-2018)</f>
        <v>4937.5264455117067</v>
      </c>
      <c r="D127" s="1657">
        <f>INDEX(Drivers!$A$25:$AM$25,1,$A127-2018)/INDEX(Drivers!$A$25:$AM$25,1,$A127-2019)*D126</f>
        <v>49329037.288601168</v>
      </c>
      <c r="E127" s="762">
        <f t="shared" si="52"/>
        <v>49329037.288601168</v>
      </c>
      <c r="F127" s="1120"/>
      <c r="G127" s="1120"/>
      <c r="H127" s="1121"/>
      <c r="I127" s="1292">
        <f t="shared" si="51"/>
        <v>424.26313389388866</v>
      </c>
      <c r="J127" s="1293">
        <f t="shared" si="53"/>
        <v>12.031045626813224</v>
      </c>
      <c r="K127" s="1294">
        <f t="shared" si="41"/>
        <v>27172.160478577796</v>
      </c>
      <c r="L127" s="1294">
        <f t="shared" si="54"/>
        <v>108732.64323814944</v>
      </c>
      <c r="M127" s="1295">
        <f t="shared" si="55"/>
        <v>108732.64323814944</v>
      </c>
      <c r="N127" s="1249">
        <f t="shared" si="46"/>
        <v>0.19892488097366726</v>
      </c>
      <c r="O127" s="1249">
        <f t="shared" si="46"/>
        <v>0.26585903447659598</v>
      </c>
      <c r="P127" s="1249">
        <f t="shared" si="46"/>
        <v>8.9228108703258049E-2</v>
      </c>
      <c r="Q127" s="1249">
        <f t="shared" si="46"/>
        <v>0</v>
      </c>
      <c r="R127" s="1249">
        <f t="shared" si="46"/>
        <v>0</v>
      </c>
      <c r="S127" s="1249">
        <f t="shared" si="46"/>
        <v>0</v>
      </c>
      <c r="T127" s="1249">
        <f t="shared" si="46"/>
        <v>0.4459879758464787</v>
      </c>
      <c r="U127" s="1282">
        <f t="shared" si="43"/>
        <v>1</v>
      </c>
      <c r="V127" s="1283">
        <f t="shared" si="50"/>
        <v>0.29028184578274857</v>
      </c>
      <c r="W127" s="1249">
        <f t="shared" si="50"/>
        <v>0.30317187715157518</v>
      </c>
      <c r="X127" s="1249">
        <f t="shared" si="50"/>
        <v>8.2805443243048754E-2</v>
      </c>
      <c r="Y127" s="1249">
        <f t="shared" si="50"/>
        <v>0</v>
      </c>
      <c r="Z127" s="1249">
        <f t="shared" si="50"/>
        <v>0</v>
      </c>
      <c r="AA127" s="1249">
        <f t="shared" si="50"/>
        <v>0</v>
      </c>
      <c r="AB127" s="1249">
        <f t="shared" si="50"/>
        <v>0.32374083382262742</v>
      </c>
      <c r="AC127" s="1282">
        <f t="shared" si="47"/>
        <v>0.99999999999999989</v>
      </c>
    </row>
    <row r="128" spans="1:29">
      <c r="A128" s="187">
        <f t="shared" ref="A128:A150" si="56">A127+1</f>
        <v>2028</v>
      </c>
      <c r="B128" s="1656">
        <f>INDEX(Drivers!$A$8:$AM$8,1,$A128-2018)/1000</f>
        <v>64.676158618096451</v>
      </c>
      <c r="C128" s="1660">
        <f>INDEX(Drivers!$A$16:$AM$16,1,$A128-2018)</f>
        <v>5030.8888370380655</v>
      </c>
      <c r="D128" s="1657">
        <f>INDEX(Drivers!$A$25:$AM$25,1,$A128-2018)/INDEX(Drivers!$A$25:$AM$25,1,$A128-2019)*D127</f>
        <v>48528826.860263921</v>
      </c>
      <c r="E128" s="762">
        <f t="shared" si="52"/>
        <v>48528826.860263921</v>
      </c>
      <c r="F128" s="1120"/>
      <c r="G128" s="1120"/>
      <c r="H128" s="1121"/>
      <c r="I128" s="1292">
        <f t="shared" si="51"/>
        <v>424.26313389388866</v>
      </c>
      <c r="J128" s="1293">
        <f t="shared" si="53"/>
        <v>12.031045626813224</v>
      </c>
      <c r="K128" s="1294">
        <f t="shared" si="41"/>
        <v>27439.709743531836</v>
      </c>
      <c r="L128" s="1294">
        <f t="shared" si="54"/>
        <v>109055.68000209422</v>
      </c>
      <c r="M128" s="1295">
        <f t="shared" si="55"/>
        <v>109055.68000209422</v>
      </c>
      <c r="N128" s="1249">
        <f t="shared" si="46"/>
        <v>0.19892488097366726</v>
      </c>
      <c r="O128" s="1249">
        <f t="shared" si="46"/>
        <v>0.26585903447659598</v>
      </c>
      <c r="P128" s="1249">
        <f t="shared" si="46"/>
        <v>8.9228108703258049E-2</v>
      </c>
      <c r="Q128" s="1249">
        <f t="shared" si="46"/>
        <v>0</v>
      </c>
      <c r="R128" s="1249">
        <f t="shared" si="46"/>
        <v>0</v>
      </c>
      <c r="S128" s="1249">
        <f t="shared" si="46"/>
        <v>0</v>
      </c>
      <c r="T128" s="1249">
        <f t="shared" si="46"/>
        <v>0.4459879758464787</v>
      </c>
      <c r="U128" s="1282">
        <f t="shared" si="43"/>
        <v>1</v>
      </c>
      <c r="V128" s="1283">
        <f t="shared" si="50"/>
        <v>0.29028184578274857</v>
      </c>
      <c r="W128" s="1249">
        <f t="shared" si="50"/>
        <v>0.30317187715157518</v>
      </c>
      <c r="X128" s="1249">
        <f t="shared" si="50"/>
        <v>8.2805443243048754E-2</v>
      </c>
      <c r="Y128" s="1249">
        <f t="shared" si="50"/>
        <v>0</v>
      </c>
      <c r="Z128" s="1249">
        <f t="shared" si="50"/>
        <v>0</v>
      </c>
      <c r="AA128" s="1249">
        <f t="shared" si="50"/>
        <v>0</v>
      </c>
      <c r="AB128" s="1249">
        <f t="shared" si="50"/>
        <v>0.32374083382262742</v>
      </c>
      <c r="AC128" s="1282">
        <f t="shared" si="47"/>
        <v>0.99999999999999989</v>
      </c>
    </row>
    <row r="129" spans="1:29">
      <c r="A129" s="187">
        <f t="shared" si="56"/>
        <v>2029</v>
      </c>
      <c r="B129" s="1656">
        <f>INDEX(Drivers!$A$8:$AM$8,1,$A129-2018)/1000</f>
        <v>65.31298905018393</v>
      </c>
      <c r="C129" s="1660">
        <f>INDEX(Drivers!$A$16:$AM$16,1,$A129-2018)</f>
        <v>5147.1070268118992</v>
      </c>
      <c r="D129" s="1657">
        <f>INDEX(Drivers!$A$25:$AM$25,1,$A129-2018)/INDEX(Drivers!$A$25:$AM$25,1,$A129-2019)*D128</f>
        <v>46965110.037548423</v>
      </c>
      <c r="E129" s="762">
        <f t="shared" si="52"/>
        <v>46965110.037548423</v>
      </c>
      <c r="F129" s="1120"/>
      <c r="G129" s="1120"/>
      <c r="H129" s="1121"/>
      <c r="I129" s="1292">
        <f t="shared" si="51"/>
        <v>424.26313389388866</v>
      </c>
      <c r="J129" s="1293">
        <f t="shared" si="53"/>
        <v>12.031045626813224</v>
      </c>
      <c r="K129" s="1294">
        <f t="shared" si="41"/>
        <v>27709.893418408268</v>
      </c>
      <c r="L129" s="1294">
        <f t="shared" si="54"/>
        <v>108890.18952321334</v>
      </c>
      <c r="M129" s="1295">
        <f t="shared" si="55"/>
        <v>108890.18952321334</v>
      </c>
      <c r="N129" s="1249">
        <f t="shared" si="46"/>
        <v>0.19892488097366726</v>
      </c>
      <c r="O129" s="1249">
        <f t="shared" si="46"/>
        <v>0.26585903447659598</v>
      </c>
      <c r="P129" s="1249">
        <f t="shared" si="46"/>
        <v>8.9228108703258049E-2</v>
      </c>
      <c r="Q129" s="1249">
        <f t="shared" si="46"/>
        <v>0</v>
      </c>
      <c r="R129" s="1249">
        <f t="shared" si="46"/>
        <v>0</v>
      </c>
      <c r="S129" s="1249">
        <f t="shared" si="46"/>
        <v>0</v>
      </c>
      <c r="T129" s="1249">
        <f t="shared" si="46"/>
        <v>0.4459879758464787</v>
      </c>
      <c r="U129" s="1282">
        <f t="shared" si="43"/>
        <v>1</v>
      </c>
      <c r="V129" s="1283">
        <f t="shared" si="50"/>
        <v>0.29028184578274857</v>
      </c>
      <c r="W129" s="1249">
        <f t="shared" si="50"/>
        <v>0.30317187715157518</v>
      </c>
      <c r="X129" s="1249">
        <f t="shared" si="50"/>
        <v>8.2805443243048754E-2</v>
      </c>
      <c r="Y129" s="1249">
        <f t="shared" si="50"/>
        <v>0</v>
      </c>
      <c r="Z129" s="1249">
        <f t="shared" si="50"/>
        <v>0</v>
      </c>
      <c r="AA129" s="1249">
        <f t="shared" si="50"/>
        <v>0</v>
      </c>
      <c r="AB129" s="1249">
        <f t="shared" si="50"/>
        <v>0.32374083382262742</v>
      </c>
      <c r="AC129" s="1282">
        <f t="shared" si="47"/>
        <v>0.99999999999999989</v>
      </c>
    </row>
    <row r="130" spans="1:29">
      <c r="A130" s="187">
        <f t="shared" si="56"/>
        <v>2030</v>
      </c>
      <c r="B130" s="1656">
        <f>INDEX(Drivers!$A$8:$AM$8,1,$A130-2018)/1000</f>
        <v>65.956090000000003</v>
      </c>
      <c r="C130" s="1660">
        <f>INDEX(Drivers!$A$16:$AM$16,1,$A130-2018)</f>
        <v>5262.1824199605107</v>
      </c>
      <c r="D130" s="1657">
        <f>INDEX(Drivers!$A$25:$AM$25,1,$A130-2018)/INDEX(Drivers!$A$25:$AM$25,1,$A130-2019)*D129</f>
        <v>45521353.842330128</v>
      </c>
      <c r="E130" s="762">
        <f t="shared" si="52"/>
        <v>45521353.842330128</v>
      </c>
      <c r="F130" s="1120"/>
      <c r="G130" s="1120"/>
      <c r="H130" s="1121"/>
      <c r="I130" s="1292">
        <f t="shared" si="51"/>
        <v>424.26313389388866</v>
      </c>
      <c r="J130" s="1293">
        <f t="shared" si="53"/>
        <v>12.031045626813224</v>
      </c>
      <c r="K130" s="1294">
        <f t="shared" si="41"/>
        <v>27982.737442787373</v>
      </c>
      <c r="L130" s="1294">
        <f t="shared" si="54"/>
        <v>108830.91063348946</v>
      </c>
      <c r="M130" s="1295">
        <f t="shared" si="55"/>
        <v>108830.91063348946</v>
      </c>
      <c r="N130" s="1249">
        <f t="shared" si="46"/>
        <v>0.19892488097366726</v>
      </c>
      <c r="O130" s="1249">
        <f t="shared" si="46"/>
        <v>0.26585903447659598</v>
      </c>
      <c r="P130" s="1249">
        <f t="shared" si="46"/>
        <v>8.9228108703258049E-2</v>
      </c>
      <c r="Q130" s="1249">
        <f t="shared" si="46"/>
        <v>0</v>
      </c>
      <c r="R130" s="1249">
        <f t="shared" si="46"/>
        <v>0</v>
      </c>
      <c r="S130" s="1249">
        <f t="shared" si="46"/>
        <v>0</v>
      </c>
      <c r="T130" s="1249">
        <f t="shared" si="46"/>
        <v>0.4459879758464787</v>
      </c>
      <c r="U130" s="1282">
        <f t="shared" si="43"/>
        <v>1</v>
      </c>
      <c r="V130" s="1283">
        <f t="shared" si="50"/>
        <v>0.29028184578274857</v>
      </c>
      <c r="W130" s="1249">
        <f t="shared" si="50"/>
        <v>0.30317187715157518</v>
      </c>
      <c r="X130" s="1249">
        <f t="shared" si="50"/>
        <v>8.2805443243048754E-2</v>
      </c>
      <c r="Y130" s="1249">
        <f t="shared" si="50"/>
        <v>0</v>
      </c>
      <c r="Z130" s="1249">
        <f t="shared" si="50"/>
        <v>0</v>
      </c>
      <c r="AA130" s="1249">
        <f t="shared" si="50"/>
        <v>0</v>
      </c>
      <c r="AB130" s="1249">
        <f t="shared" si="50"/>
        <v>0.32374083382262742</v>
      </c>
      <c r="AC130" s="1282">
        <f t="shared" si="47"/>
        <v>0.99999999999999989</v>
      </c>
    </row>
    <row r="131" spans="1:29">
      <c r="A131" s="187">
        <f t="shared" si="56"/>
        <v>2031</v>
      </c>
      <c r="B131" s="1656">
        <f>INDEX(Drivers!$A$8:$AM$8,1,$A131-2018)/1000</f>
        <v>66.518977190687664</v>
      </c>
      <c r="C131" s="1660">
        <f>INDEX(Drivers!$A$16:$AM$16,1,$A131-2018)</f>
        <v>5387.7672265735409</v>
      </c>
      <c r="D131" s="1657">
        <f>INDEX(Drivers!$A$25:$AM$25,1,$A131-2018)/INDEX(Drivers!$A$25:$AM$25,1,$A131-2019)*D130</f>
        <v>44085520.531554446</v>
      </c>
      <c r="E131" s="762">
        <f t="shared" si="52"/>
        <v>44085520.531554446</v>
      </c>
      <c r="F131" s="1120"/>
      <c r="G131" s="1120"/>
      <c r="H131" s="1121"/>
      <c r="I131" s="1292">
        <f t="shared" si="51"/>
        <v>424.26313389388866</v>
      </c>
      <c r="J131" s="1293">
        <f t="shared" si="53"/>
        <v>12.031045626813224</v>
      </c>
      <c r="K131" s="1294">
        <f t="shared" si="41"/>
        <v>28221.549726337245</v>
      </c>
      <c r="L131" s="1294">
        <f t="shared" si="54"/>
        <v>108905.99386110966</v>
      </c>
      <c r="M131" s="1295">
        <f t="shared" si="55"/>
        <v>108905.99386110966</v>
      </c>
      <c r="N131" s="1249">
        <f t="shared" ref="N131:T146" si="57">N130</f>
        <v>0.19892488097366726</v>
      </c>
      <c r="O131" s="1249">
        <f t="shared" si="57"/>
        <v>0.26585903447659598</v>
      </c>
      <c r="P131" s="1249">
        <f t="shared" si="57"/>
        <v>8.9228108703258049E-2</v>
      </c>
      <c r="Q131" s="1249">
        <f t="shared" si="57"/>
        <v>0</v>
      </c>
      <c r="R131" s="1249">
        <f t="shared" si="57"/>
        <v>0</v>
      </c>
      <c r="S131" s="1249">
        <f t="shared" si="57"/>
        <v>0</v>
      </c>
      <c r="T131" s="1249">
        <f t="shared" si="57"/>
        <v>0.4459879758464787</v>
      </c>
      <c r="U131" s="1282">
        <f t="shared" si="43"/>
        <v>1</v>
      </c>
      <c r="V131" s="1283">
        <f t="shared" si="50"/>
        <v>0.29028184578274857</v>
      </c>
      <c r="W131" s="1249">
        <f t="shared" si="50"/>
        <v>0.30317187715157518</v>
      </c>
      <c r="X131" s="1249">
        <f t="shared" si="50"/>
        <v>8.2805443243048754E-2</v>
      </c>
      <c r="Y131" s="1249">
        <f t="shared" si="50"/>
        <v>0</v>
      </c>
      <c r="Z131" s="1249">
        <f t="shared" si="50"/>
        <v>0</v>
      </c>
      <c r="AA131" s="1249">
        <f t="shared" si="50"/>
        <v>0</v>
      </c>
      <c r="AB131" s="1249">
        <f t="shared" si="50"/>
        <v>0.32374083382262742</v>
      </c>
      <c r="AC131" s="1282">
        <f t="shared" si="47"/>
        <v>0.99999999999999989</v>
      </c>
    </row>
    <row r="132" spans="1:29">
      <c r="A132" s="187">
        <f t="shared" si="56"/>
        <v>2032</v>
      </c>
      <c r="B132" s="1656">
        <f>INDEX(Drivers!$A$8:$AM$8,1,$A132-2018)/1000</f>
        <v>67.08666821358311</v>
      </c>
      <c r="C132" s="1660">
        <f>INDEX(Drivers!$A$16:$AM$16,1,$A132-2018)</f>
        <v>5535.3993263804541</v>
      </c>
      <c r="D132" s="1657">
        <f>INDEX(Drivers!$A$25:$AM$25,1,$A132-2018)/INDEX(Drivers!$A$25:$AM$25,1,$A132-2019)*D131</f>
        <v>41932973.31689404</v>
      </c>
      <c r="E132" s="762">
        <f t="shared" si="52"/>
        <v>41932973.31689404</v>
      </c>
      <c r="F132" s="1120"/>
      <c r="G132" s="1120"/>
      <c r="H132" s="1121"/>
      <c r="I132" s="1292">
        <f t="shared" si="51"/>
        <v>424.26313389388866</v>
      </c>
      <c r="J132" s="1293">
        <f t="shared" si="53"/>
        <v>12.031045626813224</v>
      </c>
      <c r="K132" s="1294">
        <f t="shared" si="41"/>
        <v>28462.400098794296</v>
      </c>
      <c r="L132" s="1294">
        <f t="shared" si="54"/>
        <v>108529.61517520846</v>
      </c>
      <c r="M132" s="1295">
        <f t="shared" si="55"/>
        <v>108529.61517520846</v>
      </c>
      <c r="N132" s="1249">
        <f t="shared" si="57"/>
        <v>0.19892488097366726</v>
      </c>
      <c r="O132" s="1249">
        <f t="shared" si="57"/>
        <v>0.26585903447659598</v>
      </c>
      <c r="P132" s="1249">
        <f t="shared" si="57"/>
        <v>8.9228108703258049E-2</v>
      </c>
      <c r="Q132" s="1249">
        <f t="shared" si="57"/>
        <v>0</v>
      </c>
      <c r="R132" s="1249">
        <f t="shared" si="57"/>
        <v>0</v>
      </c>
      <c r="S132" s="1249">
        <f t="shared" si="57"/>
        <v>0</v>
      </c>
      <c r="T132" s="1249">
        <f t="shared" si="57"/>
        <v>0.4459879758464787</v>
      </c>
      <c r="U132" s="1282">
        <f t="shared" si="43"/>
        <v>1</v>
      </c>
      <c r="V132" s="1283">
        <f t="shared" ref="V132:AB147" si="58">V131</f>
        <v>0.29028184578274857</v>
      </c>
      <c r="W132" s="1249">
        <f t="shared" si="58"/>
        <v>0.30317187715157518</v>
      </c>
      <c r="X132" s="1249">
        <f t="shared" si="58"/>
        <v>8.2805443243048754E-2</v>
      </c>
      <c r="Y132" s="1249">
        <f t="shared" si="58"/>
        <v>0</v>
      </c>
      <c r="Z132" s="1249">
        <f t="shared" si="58"/>
        <v>0</v>
      </c>
      <c r="AA132" s="1249">
        <f t="shared" si="58"/>
        <v>0</v>
      </c>
      <c r="AB132" s="1249">
        <f t="shared" si="58"/>
        <v>0.32374083382262742</v>
      </c>
      <c r="AC132" s="1282">
        <f t="shared" si="47"/>
        <v>0.99999999999999989</v>
      </c>
    </row>
    <row r="133" spans="1:29">
      <c r="A133" s="187">
        <f t="shared" si="56"/>
        <v>2033</v>
      </c>
      <c r="B133" s="1656">
        <f>INDEX(Drivers!$A$8:$AM$8,1,$A133-2018)/1000</f>
        <v>67.659204065895452</v>
      </c>
      <c r="C133" s="1660">
        <f>INDEX(Drivers!$A$16:$AM$16,1,$A133-2018)</f>
        <v>5694.7516404688276</v>
      </c>
      <c r="D133" s="1657">
        <f>INDEX(Drivers!$A$25:$AM$25,1,$A133-2018)/INDEX(Drivers!$A$25:$AM$25,1,$A133-2019)*D132</f>
        <v>41056214.022582531</v>
      </c>
      <c r="E133" s="762">
        <f t="shared" si="52"/>
        <v>41056214.022582531</v>
      </c>
      <c r="F133" s="1120"/>
      <c r="G133" s="1120"/>
      <c r="H133" s="1121"/>
      <c r="I133" s="1292">
        <f t="shared" si="51"/>
        <v>424.26313389388866</v>
      </c>
      <c r="J133" s="1293">
        <f t="shared" si="53"/>
        <v>12.031045626813224</v>
      </c>
      <c r="K133" s="1294">
        <f t="shared" si="41"/>
        <v>28705.305953762938</v>
      </c>
      <c r="L133" s="1294">
        <f t="shared" si="54"/>
        <v>109570.03084243245</v>
      </c>
      <c r="M133" s="1295">
        <f t="shared" si="55"/>
        <v>109570.03084243245</v>
      </c>
      <c r="N133" s="1249">
        <f t="shared" si="57"/>
        <v>0.19892488097366726</v>
      </c>
      <c r="O133" s="1249">
        <f t="shared" si="57"/>
        <v>0.26585903447659598</v>
      </c>
      <c r="P133" s="1249">
        <f t="shared" si="57"/>
        <v>8.9228108703258049E-2</v>
      </c>
      <c r="Q133" s="1249">
        <f t="shared" si="57"/>
        <v>0</v>
      </c>
      <c r="R133" s="1249">
        <f t="shared" si="57"/>
        <v>0</v>
      </c>
      <c r="S133" s="1249">
        <f t="shared" si="57"/>
        <v>0</v>
      </c>
      <c r="T133" s="1249">
        <f t="shared" si="57"/>
        <v>0.4459879758464787</v>
      </c>
      <c r="U133" s="1282">
        <f t="shared" si="43"/>
        <v>1</v>
      </c>
      <c r="V133" s="1283">
        <f t="shared" si="58"/>
        <v>0.29028184578274857</v>
      </c>
      <c r="W133" s="1249">
        <f t="shared" si="58"/>
        <v>0.30317187715157518</v>
      </c>
      <c r="X133" s="1249">
        <f t="shared" si="58"/>
        <v>8.2805443243048754E-2</v>
      </c>
      <c r="Y133" s="1249">
        <f t="shared" si="58"/>
        <v>0</v>
      </c>
      <c r="Z133" s="1249">
        <f t="shared" si="58"/>
        <v>0</v>
      </c>
      <c r="AA133" s="1249">
        <f t="shared" si="58"/>
        <v>0</v>
      </c>
      <c r="AB133" s="1249">
        <f t="shared" si="58"/>
        <v>0.32374083382262742</v>
      </c>
      <c r="AC133" s="1282">
        <f t="shared" si="47"/>
        <v>0.99999999999999989</v>
      </c>
    </row>
    <row r="134" spans="1:29">
      <c r="A134" s="187">
        <f t="shared" si="56"/>
        <v>2034</v>
      </c>
      <c r="B134" s="1656">
        <f>INDEX(Drivers!$A$8:$AM$8,1,$A134-2018)/1000</f>
        <v>68.236626094715163</v>
      </c>
      <c r="C134" s="1660">
        <f>INDEX(Drivers!$A$16:$AM$16,1,$A134-2018)</f>
        <v>5880.7243334969316</v>
      </c>
      <c r="D134" s="1657">
        <f>INDEX(Drivers!$A$25:$AM$25,1,$A134-2018)/INDEX(Drivers!$A$25:$AM$25,1,$A134-2019)*D133</f>
        <v>40488564.369250603</v>
      </c>
      <c r="E134" s="762">
        <f t="shared" si="52"/>
        <v>40488564.369250603</v>
      </c>
      <c r="F134" s="1120"/>
      <c r="G134" s="1120"/>
      <c r="H134" s="1121"/>
      <c r="I134" s="1292">
        <f t="shared" si="51"/>
        <v>424.26313389388866</v>
      </c>
      <c r="J134" s="1293">
        <f t="shared" si="53"/>
        <v>12.031045626813224</v>
      </c>
      <c r="K134" s="1294">
        <f t="shared" si="41"/>
        <v>28950.284833289355</v>
      </c>
      <c r="L134" s="1294">
        <f t="shared" si="54"/>
        <v>111239.82714426299</v>
      </c>
      <c r="M134" s="1295">
        <f t="shared" si="55"/>
        <v>111239.82714426299</v>
      </c>
      <c r="N134" s="1249">
        <f t="shared" si="57"/>
        <v>0.19892488097366726</v>
      </c>
      <c r="O134" s="1249">
        <f t="shared" si="57"/>
        <v>0.26585903447659598</v>
      </c>
      <c r="P134" s="1249">
        <f t="shared" si="57"/>
        <v>8.9228108703258049E-2</v>
      </c>
      <c r="Q134" s="1249">
        <f t="shared" si="57"/>
        <v>0</v>
      </c>
      <c r="R134" s="1249">
        <f t="shared" si="57"/>
        <v>0</v>
      </c>
      <c r="S134" s="1249">
        <f t="shared" si="57"/>
        <v>0</v>
      </c>
      <c r="T134" s="1249">
        <f t="shared" si="57"/>
        <v>0.4459879758464787</v>
      </c>
      <c r="U134" s="1282">
        <f t="shared" si="43"/>
        <v>1</v>
      </c>
      <c r="V134" s="1283">
        <f t="shared" si="58"/>
        <v>0.29028184578274857</v>
      </c>
      <c r="W134" s="1249">
        <f t="shared" si="58"/>
        <v>0.30317187715157518</v>
      </c>
      <c r="X134" s="1249">
        <f t="shared" si="58"/>
        <v>8.2805443243048754E-2</v>
      </c>
      <c r="Y134" s="1249">
        <f t="shared" si="58"/>
        <v>0</v>
      </c>
      <c r="Z134" s="1249">
        <f t="shared" si="58"/>
        <v>0</v>
      </c>
      <c r="AA134" s="1249">
        <f t="shared" si="58"/>
        <v>0</v>
      </c>
      <c r="AB134" s="1249">
        <f t="shared" si="58"/>
        <v>0.32374083382262742</v>
      </c>
      <c r="AC134" s="1282">
        <f t="shared" si="47"/>
        <v>0.99999999999999989</v>
      </c>
    </row>
    <row r="135" spans="1:29">
      <c r="A135" s="187">
        <f t="shared" si="56"/>
        <v>2035</v>
      </c>
      <c r="B135" s="1656">
        <f>INDEX(Drivers!$A$8:$AM$8,1,$A135-2018)/1000</f>
        <v>68.818976000000006</v>
      </c>
      <c r="C135" s="1660">
        <f>INDEX(Drivers!$A$16:$AM$16,1,$A135-2018)</f>
        <v>6030.7021264561972</v>
      </c>
      <c r="D135" s="1657">
        <f>INDEX(Drivers!$A$25:$AM$25,1,$A135-2018)/INDEX(Drivers!$A$25:$AM$25,1,$A135-2019)*D134</f>
        <v>31941700.142198853</v>
      </c>
      <c r="E135" s="762">
        <f t="shared" si="52"/>
        <v>31941700.142198853</v>
      </c>
      <c r="F135" s="1120"/>
      <c r="G135" s="1120"/>
      <c r="H135" s="1121"/>
      <c r="I135" s="1292">
        <f t="shared" si="51"/>
        <v>424.26313389388866</v>
      </c>
      <c r="J135" s="1293">
        <f t="shared" si="53"/>
        <v>12.031045626813224</v>
      </c>
      <c r="K135" s="1294">
        <f t="shared" si="41"/>
        <v>29197.354429128314</v>
      </c>
      <c r="L135" s="1294">
        <f t="shared" si="54"/>
        <v>104497.3525873129</v>
      </c>
      <c r="M135" s="1295">
        <f t="shared" si="55"/>
        <v>104497.3525873129</v>
      </c>
      <c r="N135" s="1249">
        <f t="shared" si="57"/>
        <v>0.19892488097366726</v>
      </c>
      <c r="O135" s="1249">
        <f t="shared" si="57"/>
        <v>0.26585903447659598</v>
      </c>
      <c r="P135" s="1249">
        <f t="shared" si="57"/>
        <v>8.9228108703258049E-2</v>
      </c>
      <c r="Q135" s="1249">
        <f t="shared" si="57"/>
        <v>0</v>
      </c>
      <c r="R135" s="1249">
        <f t="shared" si="57"/>
        <v>0</v>
      </c>
      <c r="S135" s="1249">
        <f t="shared" si="57"/>
        <v>0</v>
      </c>
      <c r="T135" s="1249">
        <f t="shared" si="57"/>
        <v>0.4459879758464787</v>
      </c>
      <c r="U135" s="1282">
        <f t="shared" si="43"/>
        <v>1</v>
      </c>
      <c r="V135" s="1283">
        <f t="shared" si="58"/>
        <v>0.29028184578274857</v>
      </c>
      <c r="W135" s="1249">
        <f t="shared" si="58"/>
        <v>0.30317187715157518</v>
      </c>
      <c r="X135" s="1249">
        <f t="shared" si="58"/>
        <v>8.2805443243048754E-2</v>
      </c>
      <c r="Y135" s="1249">
        <f t="shared" si="58"/>
        <v>0</v>
      </c>
      <c r="Z135" s="1249">
        <f t="shared" si="58"/>
        <v>0</v>
      </c>
      <c r="AA135" s="1249">
        <f t="shared" si="58"/>
        <v>0</v>
      </c>
      <c r="AB135" s="1249">
        <f t="shared" si="58"/>
        <v>0.32374083382262742</v>
      </c>
      <c r="AC135" s="1282">
        <f t="shared" si="47"/>
        <v>0.99999999999999989</v>
      </c>
    </row>
    <row r="136" spans="1:29">
      <c r="A136" s="187">
        <f t="shared" si="56"/>
        <v>2036</v>
      </c>
      <c r="B136" s="1656">
        <f>INDEX(Drivers!$A$8:$AM$8,1,$A136-2018)/1000</f>
        <v>69.322810489383542</v>
      </c>
      <c r="C136" s="1660">
        <f>INDEX(Drivers!$A$16:$AM$16,1,$A136-2018)</f>
        <v>6175.9287194301432</v>
      </c>
      <c r="D136" s="1657">
        <f>INDEX(Drivers!$A$25:$AM$25,1,$A136-2018)/INDEX(Drivers!$A$25:$AM$25,1,$A136-2019)*D135</f>
        <v>22500187.169642892</v>
      </c>
      <c r="E136" s="762">
        <f t="shared" si="52"/>
        <v>22500187.169642892</v>
      </c>
      <c r="F136" s="1120"/>
      <c r="G136" s="1120"/>
      <c r="H136" s="1121"/>
      <c r="I136" s="1292">
        <f t="shared" si="51"/>
        <v>424.26313389388866</v>
      </c>
      <c r="J136" s="1293">
        <f t="shared" si="53"/>
        <v>12.031045626813224</v>
      </c>
      <c r="K136" s="1294">
        <f t="shared" si="41"/>
        <v>29411.112828557998</v>
      </c>
      <c r="L136" s="1294">
        <f t="shared" si="54"/>
        <v>96803.067381053115</v>
      </c>
      <c r="M136" s="1295">
        <f t="shared" si="55"/>
        <v>96803.067381053115</v>
      </c>
      <c r="N136" s="1249">
        <f t="shared" si="57"/>
        <v>0.19892488097366726</v>
      </c>
      <c r="O136" s="1249">
        <f t="shared" si="57"/>
        <v>0.26585903447659598</v>
      </c>
      <c r="P136" s="1249">
        <f t="shared" si="57"/>
        <v>8.9228108703258049E-2</v>
      </c>
      <c r="Q136" s="1249">
        <f t="shared" si="57"/>
        <v>0</v>
      </c>
      <c r="R136" s="1249">
        <f t="shared" si="57"/>
        <v>0</v>
      </c>
      <c r="S136" s="1249">
        <f t="shared" si="57"/>
        <v>0</v>
      </c>
      <c r="T136" s="1249">
        <f t="shared" si="57"/>
        <v>0.4459879758464787</v>
      </c>
      <c r="U136" s="1282">
        <f t="shared" si="43"/>
        <v>1</v>
      </c>
      <c r="V136" s="1283">
        <f t="shared" si="58"/>
        <v>0.29028184578274857</v>
      </c>
      <c r="W136" s="1249">
        <f t="shared" si="58"/>
        <v>0.30317187715157518</v>
      </c>
      <c r="X136" s="1249">
        <f t="shared" si="58"/>
        <v>8.2805443243048754E-2</v>
      </c>
      <c r="Y136" s="1249">
        <f t="shared" si="58"/>
        <v>0</v>
      </c>
      <c r="Z136" s="1249">
        <f t="shared" si="58"/>
        <v>0</v>
      </c>
      <c r="AA136" s="1249">
        <f t="shared" si="58"/>
        <v>0</v>
      </c>
      <c r="AB136" s="1249">
        <f t="shared" si="58"/>
        <v>0.32374083382262742</v>
      </c>
      <c r="AC136" s="1282">
        <f t="shared" si="47"/>
        <v>0.99999999999999989</v>
      </c>
    </row>
    <row r="137" spans="1:29">
      <c r="A137" s="187">
        <f t="shared" si="56"/>
        <v>2037</v>
      </c>
      <c r="B137" s="1656">
        <f>INDEX(Drivers!$A$8:$AM$8,1,$A137-2018)/1000</f>
        <v>69.830333629884052</v>
      </c>
      <c r="C137" s="1660">
        <f>INDEX(Drivers!$A$16:$AM$16,1,$A137-2018)</f>
        <v>6338.2033947034479</v>
      </c>
      <c r="D137" s="1657">
        <f>INDEX(Drivers!$A$25:$AM$25,1,$A137-2018)/INDEX(Drivers!$A$25:$AM$25,1,$A137-2019)*D136</f>
        <v>17781297.212015409</v>
      </c>
      <c r="E137" s="762">
        <f t="shared" si="52"/>
        <v>17781297.212015409</v>
      </c>
      <c r="F137" s="1120"/>
      <c r="G137" s="1120"/>
      <c r="H137" s="1121"/>
      <c r="I137" s="1292">
        <f t="shared" si="51"/>
        <v>424.26313389388866</v>
      </c>
      <c r="J137" s="1293">
        <f t="shared" si="53"/>
        <v>12.031045626813224</v>
      </c>
      <c r="K137" s="1294">
        <f t="shared" si="41"/>
        <v>29626.436186670413</v>
      </c>
      <c r="L137" s="1294">
        <f t="shared" si="54"/>
        <v>94036.511445715063</v>
      </c>
      <c r="M137" s="1295">
        <f t="shared" si="55"/>
        <v>94036.511445715063</v>
      </c>
      <c r="N137" s="1249">
        <f t="shared" si="57"/>
        <v>0.19892488097366726</v>
      </c>
      <c r="O137" s="1249">
        <f t="shared" si="57"/>
        <v>0.26585903447659598</v>
      </c>
      <c r="P137" s="1249">
        <f t="shared" si="57"/>
        <v>8.9228108703258049E-2</v>
      </c>
      <c r="Q137" s="1249">
        <f t="shared" si="57"/>
        <v>0</v>
      </c>
      <c r="R137" s="1249">
        <f t="shared" si="57"/>
        <v>0</v>
      </c>
      <c r="S137" s="1249">
        <f t="shared" si="57"/>
        <v>0</v>
      </c>
      <c r="T137" s="1249">
        <f t="shared" si="57"/>
        <v>0.4459879758464787</v>
      </c>
      <c r="U137" s="1282">
        <f t="shared" si="43"/>
        <v>1</v>
      </c>
      <c r="V137" s="1283">
        <f t="shared" si="58"/>
        <v>0.29028184578274857</v>
      </c>
      <c r="W137" s="1249">
        <f t="shared" si="58"/>
        <v>0.30317187715157518</v>
      </c>
      <c r="X137" s="1249">
        <f t="shared" si="58"/>
        <v>8.2805443243048754E-2</v>
      </c>
      <c r="Y137" s="1249">
        <f t="shared" si="58"/>
        <v>0</v>
      </c>
      <c r="Z137" s="1249">
        <f t="shared" si="58"/>
        <v>0</v>
      </c>
      <c r="AA137" s="1249">
        <f t="shared" si="58"/>
        <v>0</v>
      </c>
      <c r="AB137" s="1249">
        <f t="shared" si="58"/>
        <v>0.32374083382262742</v>
      </c>
      <c r="AC137" s="1282">
        <f t="shared" si="47"/>
        <v>0.99999999999999989</v>
      </c>
    </row>
    <row r="138" spans="1:29">
      <c r="A138" s="187">
        <f t="shared" si="56"/>
        <v>2038</v>
      </c>
      <c r="B138" s="1656">
        <f>INDEX(Drivers!$A$8:$AM$8,1,$A138-2018)/1000</f>
        <v>70.341572426693446</v>
      </c>
      <c r="C138" s="1660">
        <f>INDEX(Drivers!$A$16:$AM$16,1,$A138-2018)</f>
        <v>6499.2753713641341</v>
      </c>
      <c r="D138" s="1657">
        <f>INDEX(Drivers!$A$25:$AM$25,1,$A138-2018)/INDEX(Drivers!$A$25:$AM$25,1,$A138-2019)*D137</f>
        <v>14837853.800490763</v>
      </c>
      <c r="E138" s="762">
        <f t="shared" si="52"/>
        <v>14837853.800490763</v>
      </c>
      <c r="F138" s="1120"/>
      <c r="G138" s="1120"/>
      <c r="H138" s="1121"/>
      <c r="I138" s="1292">
        <f t="shared" si="51"/>
        <v>424.26313389388866</v>
      </c>
      <c r="J138" s="1293">
        <f t="shared" si="53"/>
        <v>12.031045626813224</v>
      </c>
      <c r="K138" s="1294">
        <f t="shared" si="41"/>
        <v>29843.335960772907</v>
      </c>
      <c r="L138" s="1294">
        <f t="shared" si="54"/>
        <v>93030.932334596117</v>
      </c>
      <c r="M138" s="1295">
        <f t="shared" si="55"/>
        <v>93030.932334596117</v>
      </c>
      <c r="N138" s="1249">
        <f t="shared" si="57"/>
        <v>0.19892488097366726</v>
      </c>
      <c r="O138" s="1249">
        <f t="shared" si="57"/>
        <v>0.26585903447659598</v>
      </c>
      <c r="P138" s="1249">
        <f t="shared" si="57"/>
        <v>8.9228108703258049E-2</v>
      </c>
      <c r="Q138" s="1249">
        <f t="shared" si="57"/>
        <v>0</v>
      </c>
      <c r="R138" s="1249">
        <f t="shared" si="57"/>
        <v>0</v>
      </c>
      <c r="S138" s="1249">
        <f t="shared" si="57"/>
        <v>0</v>
      </c>
      <c r="T138" s="1249">
        <f t="shared" si="57"/>
        <v>0.4459879758464787</v>
      </c>
      <c r="U138" s="1282">
        <f t="shared" si="43"/>
        <v>1</v>
      </c>
      <c r="V138" s="1283">
        <f t="shared" si="58"/>
        <v>0.29028184578274857</v>
      </c>
      <c r="W138" s="1249">
        <f t="shared" si="58"/>
        <v>0.30317187715157518</v>
      </c>
      <c r="X138" s="1249">
        <f t="shared" si="58"/>
        <v>8.2805443243048754E-2</v>
      </c>
      <c r="Y138" s="1249">
        <f t="shared" si="58"/>
        <v>0</v>
      </c>
      <c r="Z138" s="1249">
        <f t="shared" si="58"/>
        <v>0</v>
      </c>
      <c r="AA138" s="1249">
        <f t="shared" si="58"/>
        <v>0</v>
      </c>
      <c r="AB138" s="1249">
        <f t="shared" si="58"/>
        <v>0.32374083382262742</v>
      </c>
      <c r="AC138" s="1282">
        <f t="shared" si="47"/>
        <v>0.99999999999999989</v>
      </c>
    </row>
    <row r="139" spans="1:29">
      <c r="A139" s="187">
        <f t="shared" si="56"/>
        <v>2039</v>
      </c>
      <c r="B139" s="1656">
        <f>INDEX(Drivers!$A$8:$AM$8,1,$A139-2018)/1000</f>
        <v>70.856554082712819</v>
      </c>
      <c r="C139" s="1660">
        <f>INDEX(Drivers!$A$16:$AM$16,1,$A139-2018)</f>
        <v>6668.6889746882025</v>
      </c>
      <c r="D139" s="1657">
        <f>INDEX(Drivers!$A$25:$AM$25,1,$A139-2018)/INDEX(Drivers!$A$25:$AM$25,1,$A139-2019)*D138</f>
        <v>11894410.388966125</v>
      </c>
      <c r="E139" s="762">
        <f t="shared" si="52"/>
        <v>11894410.388966125</v>
      </c>
      <c r="F139" s="1120"/>
      <c r="G139" s="1120"/>
      <c r="H139" s="1121"/>
      <c r="I139" s="1292">
        <f t="shared" si="51"/>
        <v>424.26313389388866</v>
      </c>
      <c r="J139" s="1293">
        <f t="shared" si="53"/>
        <v>12.031045626813224</v>
      </c>
      <c r="K139" s="1294">
        <f t="shared" si="41"/>
        <v>30061.823692053553</v>
      </c>
      <c r="L139" s="1294">
        <f t="shared" si="54"/>
        <v>92125.71171446619</v>
      </c>
      <c r="M139" s="1295">
        <f t="shared" si="55"/>
        <v>92125.71171446619</v>
      </c>
      <c r="N139" s="1249">
        <f t="shared" si="57"/>
        <v>0.19892488097366726</v>
      </c>
      <c r="O139" s="1249">
        <f t="shared" si="57"/>
        <v>0.26585903447659598</v>
      </c>
      <c r="P139" s="1249">
        <f t="shared" si="57"/>
        <v>8.9228108703258049E-2</v>
      </c>
      <c r="Q139" s="1249">
        <f t="shared" si="57"/>
        <v>0</v>
      </c>
      <c r="R139" s="1249">
        <f t="shared" si="57"/>
        <v>0</v>
      </c>
      <c r="S139" s="1249">
        <f t="shared" si="57"/>
        <v>0</v>
      </c>
      <c r="T139" s="1249">
        <f t="shared" si="57"/>
        <v>0.4459879758464787</v>
      </c>
      <c r="U139" s="1282">
        <f t="shared" si="43"/>
        <v>1</v>
      </c>
      <c r="V139" s="1283">
        <f t="shared" si="58"/>
        <v>0.29028184578274857</v>
      </c>
      <c r="W139" s="1249">
        <f t="shared" si="58"/>
        <v>0.30317187715157518</v>
      </c>
      <c r="X139" s="1249">
        <f t="shared" si="58"/>
        <v>8.2805443243048754E-2</v>
      </c>
      <c r="Y139" s="1249">
        <f t="shared" si="58"/>
        <v>0</v>
      </c>
      <c r="Z139" s="1249">
        <f t="shared" si="58"/>
        <v>0</v>
      </c>
      <c r="AA139" s="1249">
        <f t="shared" si="58"/>
        <v>0</v>
      </c>
      <c r="AB139" s="1249">
        <f t="shared" si="58"/>
        <v>0.32374083382262742</v>
      </c>
      <c r="AC139" s="1282">
        <f t="shared" si="47"/>
        <v>0.99999999999999989</v>
      </c>
    </row>
    <row r="140" spans="1:29">
      <c r="A140" s="187">
        <f t="shared" si="56"/>
        <v>2040</v>
      </c>
      <c r="B140" s="1656">
        <f>INDEX(Drivers!$A$8:$AM$8,1,$A140-2018)/1000</f>
        <v>71.375305999999995</v>
      </c>
      <c r="C140" s="1660">
        <f>INDEX(Drivers!$A$16:$AM$16,1,$A140-2018)</f>
        <v>6840.2471934556306</v>
      </c>
      <c r="D140" s="1657">
        <f>INDEX(Drivers!$A$25:$AM$25,1,$A140-2018)/INDEX(Drivers!$A$25:$AM$25,1,$A140-2019)*D139</f>
        <v>8950966.9774414804</v>
      </c>
      <c r="E140" s="762">
        <f t="shared" si="52"/>
        <v>8950966.9774414804</v>
      </c>
      <c r="F140" s="1120"/>
      <c r="G140" s="1120"/>
      <c r="H140" s="1121"/>
      <c r="I140" s="1292">
        <f t="shared" si="51"/>
        <v>424.26313389388866</v>
      </c>
      <c r="J140" s="1293">
        <f t="shared" si="53"/>
        <v>12.031045626813224</v>
      </c>
      <c r="K140" s="1294">
        <f t="shared" si="41"/>
        <v>30281.911006195274</v>
      </c>
      <c r="L140" s="1294">
        <f t="shared" si="54"/>
        <v>91246.293060587268</v>
      </c>
      <c r="M140" s="1295">
        <f t="shared" si="55"/>
        <v>91246.293060587268</v>
      </c>
      <c r="N140" s="1249">
        <f t="shared" si="57"/>
        <v>0.19892488097366726</v>
      </c>
      <c r="O140" s="1249">
        <f t="shared" si="57"/>
        <v>0.26585903447659598</v>
      </c>
      <c r="P140" s="1249">
        <f t="shared" si="57"/>
        <v>8.9228108703258049E-2</v>
      </c>
      <c r="Q140" s="1249">
        <f t="shared" si="57"/>
        <v>0</v>
      </c>
      <c r="R140" s="1249">
        <f t="shared" si="57"/>
        <v>0</v>
      </c>
      <c r="S140" s="1249">
        <f t="shared" si="57"/>
        <v>0</v>
      </c>
      <c r="T140" s="1249">
        <f t="shared" si="57"/>
        <v>0.4459879758464787</v>
      </c>
      <c r="U140" s="1282">
        <f t="shared" si="43"/>
        <v>1</v>
      </c>
      <c r="V140" s="1283">
        <f t="shared" si="58"/>
        <v>0.29028184578274857</v>
      </c>
      <c r="W140" s="1249">
        <f t="shared" si="58"/>
        <v>0.30317187715157518</v>
      </c>
      <c r="X140" s="1249">
        <f t="shared" si="58"/>
        <v>8.2805443243048754E-2</v>
      </c>
      <c r="Y140" s="1249">
        <f t="shared" si="58"/>
        <v>0</v>
      </c>
      <c r="Z140" s="1249">
        <f t="shared" si="58"/>
        <v>0</v>
      </c>
      <c r="AA140" s="1249">
        <f t="shared" si="58"/>
        <v>0</v>
      </c>
      <c r="AB140" s="1249">
        <f t="shared" si="58"/>
        <v>0.32374083382262742</v>
      </c>
      <c r="AC140" s="1282">
        <f t="shared" si="47"/>
        <v>0.99999999999999989</v>
      </c>
    </row>
    <row r="141" spans="1:29">
      <c r="A141" s="187">
        <f t="shared" si="56"/>
        <v>2041</v>
      </c>
      <c r="B141" s="1656">
        <f>INDEX(Drivers!$A$8:$AM$8,1,$A141-2018)/1000</f>
        <v>71.818612994947316</v>
      </c>
      <c r="C141" s="1660">
        <f>INDEX(Drivers!$A$16:$AM$16,1,$A141-2018)</f>
        <v>7028.9784058300729</v>
      </c>
      <c r="D141" s="1657">
        <f>INDEX(Drivers!$A$25:$AM$25,1,$A141-2018)/INDEX(Drivers!$A$25:$AM$25,1,$A141-2019)*D140</f>
        <v>7408427.529416549</v>
      </c>
      <c r="E141" s="762">
        <f t="shared" si="52"/>
        <v>7408427.529416549</v>
      </c>
      <c r="F141" s="1120"/>
      <c r="G141" s="1120"/>
      <c r="H141" s="1121"/>
      <c r="I141" s="1292">
        <f t="shared" si="51"/>
        <v>424.26313389388866</v>
      </c>
      <c r="J141" s="1293">
        <f t="shared" si="53"/>
        <v>12.031045626813224</v>
      </c>
      <c r="K141" s="1294">
        <f t="shared" si="41"/>
        <v>30469.989821148705</v>
      </c>
      <c r="L141" s="1294">
        <f t="shared" si="54"/>
        <v>91974.387439843034</v>
      </c>
      <c r="M141" s="1295">
        <f t="shared" si="55"/>
        <v>91974.387439843034</v>
      </c>
      <c r="N141" s="1249">
        <f t="shared" si="57"/>
        <v>0.19892488097366726</v>
      </c>
      <c r="O141" s="1249">
        <f t="shared" si="57"/>
        <v>0.26585903447659598</v>
      </c>
      <c r="P141" s="1249">
        <f t="shared" si="57"/>
        <v>8.9228108703258049E-2</v>
      </c>
      <c r="Q141" s="1249">
        <f t="shared" si="57"/>
        <v>0</v>
      </c>
      <c r="R141" s="1249">
        <f t="shared" si="57"/>
        <v>0</v>
      </c>
      <c r="S141" s="1249">
        <f t="shared" si="57"/>
        <v>0</v>
      </c>
      <c r="T141" s="1249">
        <f t="shared" si="57"/>
        <v>0.4459879758464787</v>
      </c>
      <c r="U141" s="1282">
        <f t="shared" si="43"/>
        <v>1</v>
      </c>
      <c r="V141" s="1283">
        <f t="shared" si="58"/>
        <v>0.29028184578274857</v>
      </c>
      <c r="W141" s="1249">
        <f t="shared" si="58"/>
        <v>0.30317187715157518</v>
      </c>
      <c r="X141" s="1249">
        <f t="shared" si="58"/>
        <v>8.2805443243048754E-2</v>
      </c>
      <c r="Y141" s="1249">
        <f t="shared" si="58"/>
        <v>0</v>
      </c>
      <c r="Z141" s="1249">
        <f t="shared" si="58"/>
        <v>0</v>
      </c>
      <c r="AA141" s="1249">
        <f t="shared" si="58"/>
        <v>0</v>
      </c>
      <c r="AB141" s="1249">
        <f t="shared" si="58"/>
        <v>0.32374083382262742</v>
      </c>
      <c r="AC141" s="1282">
        <f t="shared" si="47"/>
        <v>0.99999999999999989</v>
      </c>
    </row>
    <row r="142" spans="1:29">
      <c r="A142" s="187">
        <f t="shared" si="56"/>
        <v>2042</v>
      </c>
      <c r="B142" s="1656">
        <f>INDEX(Drivers!$A$8:$AM$8,1,$A142-2018)/1000</f>
        <v>72.264673338395411</v>
      </c>
      <c r="C142" s="1660">
        <f>INDEX(Drivers!$A$16:$AM$16,1,$A142-2018)</f>
        <v>7212.2527913428794</v>
      </c>
      <c r="D142" s="1657">
        <f>INDEX(Drivers!$A$25:$AM$25,1,$A142-2018)/INDEX(Drivers!$A$25:$AM$25,1,$A142-2019)*D141</f>
        <v>5865888.0813916186</v>
      </c>
      <c r="E142" s="762">
        <f t="shared" si="52"/>
        <v>5865888.0813916186</v>
      </c>
      <c r="F142" s="1120"/>
      <c r="G142" s="1120"/>
      <c r="H142" s="1121"/>
      <c r="I142" s="1292">
        <f t="shared" si="51"/>
        <v>424.26313389388866</v>
      </c>
      <c r="J142" s="1293">
        <f t="shared" si="53"/>
        <v>12.031045626813224</v>
      </c>
      <c r="K142" s="1294">
        <f t="shared" si="41"/>
        <v>30659.23678036578</v>
      </c>
      <c r="L142" s="1294">
        <f t="shared" si="54"/>
        <v>92636.830486148843</v>
      </c>
      <c r="M142" s="1295">
        <f t="shared" si="55"/>
        <v>92636.830486148843</v>
      </c>
      <c r="N142" s="1249">
        <f t="shared" si="57"/>
        <v>0.19892488097366726</v>
      </c>
      <c r="O142" s="1249">
        <f t="shared" si="57"/>
        <v>0.26585903447659598</v>
      </c>
      <c r="P142" s="1249">
        <f t="shared" si="57"/>
        <v>8.9228108703258049E-2</v>
      </c>
      <c r="Q142" s="1249">
        <f t="shared" si="57"/>
        <v>0</v>
      </c>
      <c r="R142" s="1249">
        <f t="shared" si="57"/>
        <v>0</v>
      </c>
      <c r="S142" s="1249">
        <f t="shared" si="57"/>
        <v>0</v>
      </c>
      <c r="T142" s="1249">
        <f t="shared" si="57"/>
        <v>0.4459879758464787</v>
      </c>
      <c r="U142" s="1282">
        <f t="shared" si="43"/>
        <v>1</v>
      </c>
      <c r="V142" s="1283">
        <f t="shared" si="58"/>
        <v>0.29028184578274857</v>
      </c>
      <c r="W142" s="1249">
        <f t="shared" si="58"/>
        <v>0.30317187715157518</v>
      </c>
      <c r="X142" s="1249">
        <f t="shared" si="58"/>
        <v>8.2805443243048754E-2</v>
      </c>
      <c r="Y142" s="1249">
        <f t="shared" si="58"/>
        <v>0</v>
      </c>
      <c r="Z142" s="1249">
        <f t="shared" si="58"/>
        <v>0</v>
      </c>
      <c r="AA142" s="1249">
        <f t="shared" si="58"/>
        <v>0</v>
      </c>
      <c r="AB142" s="1249">
        <f t="shared" si="58"/>
        <v>0.32374083382262742</v>
      </c>
      <c r="AC142" s="1282">
        <f t="shared" si="47"/>
        <v>0.99999999999999989</v>
      </c>
    </row>
    <row r="143" spans="1:29">
      <c r="A143" s="187">
        <f t="shared" si="56"/>
        <v>2043</v>
      </c>
      <c r="B143" s="1656">
        <f>INDEX(Drivers!$A$8:$AM$8,1,$A143-2018)/1000</f>
        <v>72.713504131197794</v>
      </c>
      <c r="C143" s="1660">
        <f>INDEX(Drivers!$A$16:$AM$16,1,$A143-2018)</f>
        <v>7399.5467373897327</v>
      </c>
      <c r="D143" s="1657">
        <f>INDEX(Drivers!$A$25:$AM$25,1,$A143-2018)/INDEX(Drivers!$A$25:$AM$25,1,$A143-2019)*D142</f>
        <v>4323348.6333666872</v>
      </c>
      <c r="E143" s="762">
        <f t="shared" si="52"/>
        <v>4323348.6333666872</v>
      </c>
      <c r="F143" s="1120"/>
      <c r="G143" s="1120"/>
      <c r="H143" s="1121"/>
      <c r="I143" s="1292">
        <f t="shared" si="51"/>
        <v>424.26313389388866</v>
      </c>
      <c r="J143" s="1293">
        <f t="shared" si="53"/>
        <v>12.031045626813224</v>
      </c>
      <c r="K143" s="1294">
        <f t="shared" si="41"/>
        <v>30849.659139108197</v>
      </c>
      <c r="L143" s="1294">
        <f t="shared" si="54"/>
        <v>93347.633048639487</v>
      </c>
      <c r="M143" s="1295">
        <f t="shared" si="55"/>
        <v>93347.633048639487</v>
      </c>
      <c r="N143" s="1249">
        <f t="shared" si="57"/>
        <v>0.19892488097366726</v>
      </c>
      <c r="O143" s="1249">
        <f t="shared" si="57"/>
        <v>0.26585903447659598</v>
      </c>
      <c r="P143" s="1249">
        <f t="shared" si="57"/>
        <v>8.9228108703258049E-2</v>
      </c>
      <c r="Q143" s="1249">
        <f t="shared" si="57"/>
        <v>0</v>
      </c>
      <c r="R143" s="1249">
        <f t="shared" si="57"/>
        <v>0</v>
      </c>
      <c r="S143" s="1249">
        <f t="shared" si="57"/>
        <v>0</v>
      </c>
      <c r="T143" s="1249">
        <f t="shared" si="57"/>
        <v>0.4459879758464787</v>
      </c>
      <c r="U143" s="1282">
        <f t="shared" si="43"/>
        <v>1</v>
      </c>
      <c r="V143" s="1283">
        <f t="shared" si="58"/>
        <v>0.29028184578274857</v>
      </c>
      <c r="W143" s="1249">
        <f t="shared" si="58"/>
        <v>0.30317187715157518</v>
      </c>
      <c r="X143" s="1249">
        <f t="shared" si="58"/>
        <v>8.2805443243048754E-2</v>
      </c>
      <c r="Y143" s="1249">
        <f t="shared" si="58"/>
        <v>0</v>
      </c>
      <c r="Z143" s="1249">
        <f t="shared" si="58"/>
        <v>0</v>
      </c>
      <c r="AA143" s="1249">
        <f t="shared" si="58"/>
        <v>0</v>
      </c>
      <c r="AB143" s="1249">
        <f t="shared" si="58"/>
        <v>0.32374083382262742</v>
      </c>
      <c r="AC143" s="1282">
        <f t="shared" si="47"/>
        <v>0.99999999999999989</v>
      </c>
    </row>
    <row r="144" spans="1:29">
      <c r="A144" s="187">
        <f t="shared" si="56"/>
        <v>2044</v>
      </c>
      <c r="B144" s="1656">
        <f>INDEX(Drivers!$A$8:$AM$8,1,$A144-2018)/1000</f>
        <v>73.165122580420132</v>
      </c>
      <c r="C144" s="1660">
        <f>INDEX(Drivers!$A$16:$AM$16,1,$A144-2018)</f>
        <v>7593.410855692503</v>
      </c>
      <c r="D144" s="1657">
        <f>INDEX(Drivers!$A$25:$AM$25,1,$A144-2018)/INDEX(Drivers!$A$25:$AM$25,1,$A144-2019)*D143</f>
        <v>2780809.1853417563</v>
      </c>
      <c r="E144" s="762">
        <f t="shared" si="52"/>
        <v>2780809.1853417563</v>
      </c>
      <c r="F144" s="1120"/>
      <c r="G144" s="1120"/>
      <c r="H144" s="1121"/>
      <c r="I144" s="1292">
        <f t="shared" si="51"/>
        <v>424.26313389388866</v>
      </c>
      <c r="J144" s="1293">
        <f t="shared" si="53"/>
        <v>12.031045626813224</v>
      </c>
      <c r="K144" s="1294">
        <f t="shared" si="41"/>
        <v>31041.264197699562</v>
      </c>
      <c r="L144" s="1294">
        <f t="shared" si="54"/>
        <v>94137.481653317111</v>
      </c>
      <c r="M144" s="1295">
        <f t="shared" si="55"/>
        <v>94137.481653317111</v>
      </c>
      <c r="N144" s="1249">
        <f t="shared" si="57"/>
        <v>0.19892488097366726</v>
      </c>
      <c r="O144" s="1249">
        <f t="shared" si="57"/>
        <v>0.26585903447659598</v>
      </c>
      <c r="P144" s="1249">
        <f t="shared" si="57"/>
        <v>8.9228108703258049E-2</v>
      </c>
      <c r="Q144" s="1249">
        <f t="shared" si="57"/>
        <v>0</v>
      </c>
      <c r="R144" s="1249">
        <f t="shared" si="57"/>
        <v>0</v>
      </c>
      <c r="S144" s="1249">
        <f t="shared" si="57"/>
        <v>0</v>
      </c>
      <c r="T144" s="1249">
        <f t="shared" si="57"/>
        <v>0.4459879758464787</v>
      </c>
      <c r="U144" s="1282">
        <f t="shared" si="43"/>
        <v>1</v>
      </c>
      <c r="V144" s="1283">
        <f t="shared" si="58"/>
        <v>0.29028184578274857</v>
      </c>
      <c r="W144" s="1249">
        <f t="shared" si="58"/>
        <v>0.30317187715157518</v>
      </c>
      <c r="X144" s="1249">
        <f t="shared" si="58"/>
        <v>8.2805443243048754E-2</v>
      </c>
      <c r="Y144" s="1249">
        <f t="shared" si="58"/>
        <v>0</v>
      </c>
      <c r="Z144" s="1249">
        <f t="shared" si="58"/>
        <v>0</v>
      </c>
      <c r="AA144" s="1249">
        <f t="shared" si="58"/>
        <v>0</v>
      </c>
      <c r="AB144" s="1249">
        <f t="shared" si="58"/>
        <v>0.32374083382262742</v>
      </c>
      <c r="AC144" s="1282">
        <f t="shared" si="47"/>
        <v>0.99999999999999989</v>
      </c>
    </row>
    <row r="145" spans="1:29">
      <c r="A145" s="187">
        <f t="shared" si="56"/>
        <v>2045</v>
      </c>
      <c r="B145" s="1656">
        <f>INDEX(Drivers!$A$8:$AM$8,1,$A145-2018)/1000</f>
        <v>73.619545999999971</v>
      </c>
      <c r="C145" s="1660">
        <f>INDEX(Drivers!$A$16:$AM$16,1,$A145-2018)</f>
        <v>7794.8943128616638</v>
      </c>
      <c r="D145" s="1657">
        <f>INDEX(Drivers!$A$25:$AM$25,1,$A145-2018)/INDEX(Drivers!$A$25:$AM$25,1,$A145-2019)*D144</f>
        <v>1238269.7373168254</v>
      </c>
      <c r="E145" s="762">
        <f t="shared" si="52"/>
        <v>1238269.7373168254</v>
      </c>
      <c r="F145" s="1120"/>
      <c r="G145" s="1120"/>
      <c r="H145" s="1121"/>
      <c r="I145" s="1292">
        <f t="shared" si="51"/>
        <v>424.26313389388866</v>
      </c>
      <c r="J145" s="1293">
        <f t="shared" si="53"/>
        <v>12.031045626813224</v>
      </c>
      <c r="K145" s="1294">
        <f t="shared" si="41"/>
        <v>31234.059301805282</v>
      </c>
      <c r="L145" s="1294">
        <f t="shared" si="54"/>
        <v>95018.998871542412</v>
      </c>
      <c r="M145" s="1295">
        <f t="shared" si="55"/>
        <v>95018.998871542412</v>
      </c>
      <c r="N145" s="1249">
        <f t="shared" si="57"/>
        <v>0.19892488097366726</v>
      </c>
      <c r="O145" s="1249">
        <f t="shared" si="57"/>
        <v>0.26585903447659598</v>
      </c>
      <c r="P145" s="1249">
        <f t="shared" si="57"/>
        <v>8.9228108703258049E-2</v>
      </c>
      <c r="Q145" s="1249">
        <f t="shared" si="57"/>
        <v>0</v>
      </c>
      <c r="R145" s="1249">
        <f t="shared" si="57"/>
        <v>0</v>
      </c>
      <c r="S145" s="1249">
        <f t="shared" si="57"/>
        <v>0</v>
      </c>
      <c r="T145" s="1249">
        <f t="shared" si="57"/>
        <v>0.4459879758464787</v>
      </c>
      <c r="U145" s="1282">
        <f t="shared" si="43"/>
        <v>1</v>
      </c>
      <c r="V145" s="1283">
        <f t="shared" si="58"/>
        <v>0.29028184578274857</v>
      </c>
      <c r="W145" s="1249">
        <f t="shared" si="58"/>
        <v>0.30317187715157518</v>
      </c>
      <c r="X145" s="1249">
        <f t="shared" si="58"/>
        <v>8.2805443243048754E-2</v>
      </c>
      <c r="Y145" s="1249">
        <f t="shared" si="58"/>
        <v>0</v>
      </c>
      <c r="Z145" s="1249">
        <f t="shared" si="58"/>
        <v>0</v>
      </c>
      <c r="AA145" s="1249">
        <f t="shared" si="58"/>
        <v>0</v>
      </c>
      <c r="AB145" s="1249">
        <f t="shared" si="58"/>
        <v>0.32374083382262742</v>
      </c>
      <c r="AC145" s="1282">
        <f t="shared" si="47"/>
        <v>0.99999999999999989</v>
      </c>
    </row>
    <row r="146" spans="1:29">
      <c r="A146" s="187">
        <f t="shared" si="56"/>
        <v>2046</v>
      </c>
      <c r="B146" s="1656">
        <f>INDEX(Drivers!$A$8:$AM$8,1,$A146-2018)/1000</f>
        <v>73.995362001779526</v>
      </c>
      <c r="C146" s="1660">
        <f>INDEX(Drivers!$A$16:$AM$16,1,$A146-2018)</f>
        <v>8018.9246673642956</v>
      </c>
      <c r="D146" s="1657">
        <f>INDEX(Drivers!$A$25:$AM$25,1,$A146-2018)/INDEX(Drivers!$A$25:$AM$25,1,$A146-2019)*D145</f>
        <v>1037510.1997812246</v>
      </c>
      <c r="E146" s="762">
        <f t="shared" si="52"/>
        <v>1037510.1997812246</v>
      </c>
      <c r="F146" s="1120"/>
      <c r="G146" s="1120"/>
      <c r="H146" s="1121"/>
      <c r="I146" s="1292">
        <f t="shared" si="51"/>
        <v>424.26313389388866</v>
      </c>
      <c r="J146" s="1293">
        <f t="shared" si="53"/>
        <v>12.031045626813224</v>
      </c>
      <c r="K146" s="1294">
        <f t="shared" si="41"/>
        <v>31393.50417648775</v>
      </c>
      <c r="L146" s="1294">
        <f t="shared" si="54"/>
        <v>97513.558750819124</v>
      </c>
      <c r="M146" s="1295">
        <f t="shared" si="55"/>
        <v>97513.558750819124</v>
      </c>
      <c r="N146" s="1249">
        <f t="shared" si="57"/>
        <v>0.19892488097366726</v>
      </c>
      <c r="O146" s="1249">
        <f t="shared" si="57"/>
        <v>0.26585903447659598</v>
      </c>
      <c r="P146" s="1249">
        <f t="shared" si="57"/>
        <v>8.9228108703258049E-2</v>
      </c>
      <c r="Q146" s="1249">
        <f t="shared" si="57"/>
        <v>0</v>
      </c>
      <c r="R146" s="1249">
        <f t="shared" si="57"/>
        <v>0</v>
      </c>
      <c r="S146" s="1249">
        <f t="shared" si="57"/>
        <v>0</v>
      </c>
      <c r="T146" s="1249">
        <f t="shared" si="57"/>
        <v>0.4459879758464787</v>
      </c>
      <c r="U146" s="1282">
        <f t="shared" ref="U146:U150" si="59">SUM(N146:T146)</f>
        <v>1</v>
      </c>
      <c r="V146" s="1283">
        <f t="shared" si="58"/>
        <v>0.29028184578274857</v>
      </c>
      <c r="W146" s="1249">
        <f t="shared" si="58"/>
        <v>0.30317187715157518</v>
      </c>
      <c r="X146" s="1249">
        <f t="shared" si="58"/>
        <v>8.2805443243048754E-2</v>
      </c>
      <c r="Y146" s="1249">
        <f t="shared" si="58"/>
        <v>0</v>
      </c>
      <c r="Z146" s="1249">
        <f t="shared" si="58"/>
        <v>0</v>
      </c>
      <c r="AA146" s="1249">
        <f t="shared" si="58"/>
        <v>0</v>
      </c>
      <c r="AB146" s="1249">
        <f t="shared" si="58"/>
        <v>0.32374083382262742</v>
      </c>
      <c r="AC146" s="1282">
        <f t="shared" si="47"/>
        <v>0.99999999999999989</v>
      </c>
    </row>
    <row r="147" spans="1:29">
      <c r="A147" s="187">
        <f t="shared" si="56"/>
        <v>2047</v>
      </c>
      <c r="B147" s="1656">
        <f>INDEX(Drivers!$A$8:$AM$8,1,$A147-2018)/1000</f>
        <v>74.373096484110363</v>
      </c>
      <c r="C147" s="1660">
        <f>INDEX(Drivers!$A$16:$AM$16,1,$A147-2018)</f>
        <v>8179.7504647675678</v>
      </c>
      <c r="D147" s="1657">
        <f>INDEX(Drivers!$A$25:$AM$25,1,$A147-2018)/INDEX(Drivers!$A$25:$AM$25,1,$A147-2019)*D146</f>
        <v>836750.66224562365</v>
      </c>
      <c r="E147" s="762">
        <f t="shared" si="52"/>
        <v>836750.66224562365</v>
      </c>
      <c r="F147" s="1120"/>
      <c r="G147" s="1120"/>
      <c r="H147" s="1121"/>
      <c r="I147" s="1292">
        <f t="shared" si="51"/>
        <v>424.26313389388866</v>
      </c>
      <c r="J147" s="1293">
        <f t="shared" si="53"/>
        <v>12.031045626813224</v>
      </c>
      <c r="K147" s="1294">
        <f t="shared" si="41"/>
        <v>31553.762991741216</v>
      </c>
      <c r="L147" s="1294">
        <f t="shared" si="54"/>
        <v>99247.70171981091</v>
      </c>
      <c r="M147" s="1295">
        <f t="shared" si="55"/>
        <v>99247.70171981091</v>
      </c>
      <c r="N147" s="1249">
        <f t="shared" ref="N147:T150" si="60">N146</f>
        <v>0.19892488097366726</v>
      </c>
      <c r="O147" s="1249">
        <f t="shared" si="60"/>
        <v>0.26585903447659598</v>
      </c>
      <c r="P147" s="1249">
        <f t="shared" si="60"/>
        <v>8.9228108703258049E-2</v>
      </c>
      <c r="Q147" s="1249">
        <f t="shared" si="60"/>
        <v>0</v>
      </c>
      <c r="R147" s="1249">
        <f t="shared" si="60"/>
        <v>0</v>
      </c>
      <c r="S147" s="1249">
        <f t="shared" si="60"/>
        <v>0</v>
      </c>
      <c r="T147" s="1249">
        <f t="shared" si="60"/>
        <v>0.4459879758464787</v>
      </c>
      <c r="U147" s="1282">
        <f t="shared" si="59"/>
        <v>1</v>
      </c>
      <c r="V147" s="1283">
        <f t="shared" si="58"/>
        <v>0.29028184578274857</v>
      </c>
      <c r="W147" s="1249">
        <f t="shared" si="58"/>
        <v>0.30317187715157518</v>
      </c>
      <c r="X147" s="1249">
        <f t="shared" si="58"/>
        <v>8.2805443243048754E-2</v>
      </c>
      <c r="Y147" s="1249">
        <f t="shared" si="58"/>
        <v>0</v>
      </c>
      <c r="Z147" s="1249">
        <f t="shared" si="58"/>
        <v>0</v>
      </c>
      <c r="AA147" s="1249">
        <f t="shared" si="58"/>
        <v>0</v>
      </c>
      <c r="AB147" s="1249">
        <f t="shared" si="58"/>
        <v>0.32374083382262742</v>
      </c>
      <c r="AC147" s="1282">
        <f t="shared" si="47"/>
        <v>0.99999999999999989</v>
      </c>
    </row>
    <row r="148" spans="1:29">
      <c r="A148" s="187">
        <f t="shared" si="56"/>
        <v>2048</v>
      </c>
      <c r="B148" s="1656">
        <f>INDEX(Drivers!$A$8:$AM$8,1,$A148-2018)/1000</f>
        <v>74.752759240528661</v>
      </c>
      <c r="C148" s="1660">
        <f>INDEX(Drivers!$A$16:$AM$16,1,$A148-2018)</f>
        <v>8346.3110427603078</v>
      </c>
      <c r="D148" s="1657">
        <f>INDEX(Drivers!$A$25:$AM$25,1,$A148-2018)/INDEX(Drivers!$A$25:$AM$25,1,$A148-2019)*D147</f>
        <v>635991.12471002259</v>
      </c>
      <c r="E148" s="762">
        <f t="shared" si="52"/>
        <v>635991.12471002259</v>
      </c>
      <c r="F148" s="1120"/>
      <c r="G148" s="1120"/>
      <c r="H148" s="1121"/>
      <c r="I148" s="1292">
        <f t="shared" si="51"/>
        <v>424.26313389388866</v>
      </c>
      <c r="J148" s="1293">
        <f t="shared" si="53"/>
        <v>12.031045626813224</v>
      </c>
      <c r="K148" s="1294">
        <f t="shared" si="41"/>
        <v>31714.839902602034</v>
      </c>
      <c r="L148" s="1294">
        <f t="shared" si="54"/>
        <v>101050.84009573434</v>
      </c>
      <c r="M148" s="1295">
        <f t="shared" si="55"/>
        <v>101050.84009573434</v>
      </c>
      <c r="N148" s="1249">
        <f t="shared" si="60"/>
        <v>0.19892488097366726</v>
      </c>
      <c r="O148" s="1249">
        <f t="shared" si="60"/>
        <v>0.26585903447659598</v>
      </c>
      <c r="P148" s="1249">
        <f t="shared" si="60"/>
        <v>8.9228108703258049E-2</v>
      </c>
      <c r="Q148" s="1249">
        <f t="shared" si="60"/>
        <v>0</v>
      </c>
      <c r="R148" s="1249">
        <f t="shared" si="60"/>
        <v>0</v>
      </c>
      <c r="S148" s="1249">
        <f t="shared" si="60"/>
        <v>0</v>
      </c>
      <c r="T148" s="1249">
        <f t="shared" si="60"/>
        <v>0.4459879758464787</v>
      </c>
      <c r="U148" s="1282">
        <f t="shared" si="59"/>
        <v>1</v>
      </c>
      <c r="V148" s="1283">
        <f t="shared" ref="V148:AB150" si="61">V147</f>
        <v>0.29028184578274857</v>
      </c>
      <c r="W148" s="1249">
        <f t="shared" si="61"/>
        <v>0.30317187715157518</v>
      </c>
      <c r="X148" s="1249">
        <f t="shared" si="61"/>
        <v>8.2805443243048754E-2</v>
      </c>
      <c r="Y148" s="1249">
        <f t="shared" si="61"/>
        <v>0</v>
      </c>
      <c r="Z148" s="1249">
        <f t="shared" si="61"/>
        <v>0</v>
      </c>
      <c r="AA148" s="1249">
        <f t="shared" si="61"/>
        <v>0</v>
      </c>
      <c r="AB148" s="1249">
        <f t="shared" si="61"/>
        <v>0.32374083382262742</v>
      </c>
      <c r="AC148" s="1282">
        <f t="shared" si="47"/>
        <v>0.99999999999999989</v>
      </c>
    </row>
    <row r="149" spans="1:29">
      <c r="A149" s="187">
        <f t="shared" si="56"/>
        <v>2049</v>
      </c>
      <c r="B149" s="1656">
        <f>INDEX(Drivers!$A$8:$AM$8,1,$A149-2018)/1000</f>
        <v>75.134360114565098</v>
      </c>
      <c r="C149" s="1660">
        <f>INDEX(Drivers!$A$16:$AM$16,1,$A149-2018)</f>
        <v>8507.9647859669603</v>
      </c>
      <c r="D149" s="1657">
        <f>INDEX(Drivers!$A$25:$AM$25,1,$A149-2018)/INDEX(Drivers!$A$25:$AM$25,1,$A149-2019)*D148</f>
        <v>435231.58717442153</v>
      </c>
      <c r="E149" s="762">
        <f t="shared" si="52"/>
        <v>435231.58717442153</v>
      </c>
      <c r="F149" s="1120"/>
      <c r="G149" s="1120"/>
      <c r="H149" s="1121"/>
      <c r="I149" s="1292">
        <f t="shared" si="51"/>
        <v>424.26313389388866</v>
      </c>
      <c r="J149" s="1293">
        <f t="shared" si="53"/>
        <v>12.031045626813224</v>
      </c>
      <c r="K149" s="1294">
        <f t="shared" si="41"/>
        <v>31876.739085317382</v>
      </c>
      <c r="L149" s="1294">
        <f t="shared" si="54"/>
        <v>102794.94411846313</v>
      </c>
      <c r="M149" s="1295">
        <f t="shared" si="55"/>
        <v>102794.94411846313</v>
      </c>
      <c r="N149" s="1249">
        <f t="shared" si="60"/>
        <v>0.19892488097366726</v>
      </c>
      <c r="O149" s="1249">
        <f t="shared" si="60"/>
        <v>0.26585903447659598</v>
      </c>
      <c r="P149" s="1249">
        <f t="shared" si="60"/>
        <v>8.9228108703258049E-2</v>
      </c>
      <c r="Q149" s="1249">
        <f t="shared" si="60"/>
        <v>0</v>
      </c>
      <c r="R149" s="1249">
        <f t="shared" si="60"/>
        <v>0</v>
      </c>
      <c r="S149" s="1249">
        <f t="shared" si="60"/>
        <v>0</v>
      </c>
      <c r="T149" s="1249">
        <f t="shared" si="60"/>
        <v>0.4459879758464787</v>
      </c>
      <c r="U149" s="1282">
        <f t="shared" si="59"/>
        <v>1</v>
      </c>
      <c r="V149" s="1283">
        <f t="shared" si="61"/>
        <v>0.29028184578274857</v>
      </c>
      <c r="W149" s="1249">
        <f t="shared" si="61"/>
        <v>0.30317187715157518</v>
      </c>
      <c r="X149" s="1249">
        <f t="shared" si="61"/>
        <v>8.2805443243048754E-2</v>
      </c>
      <c r="Y149" s="1249">
        <f t="shared" si="61"/>
        <v>0</v>
      </c>
      <c r="Z149" s="1249">
        <f t="shared" si="61"/>
        <v>0</v>
      </c>
      <c r="AA149" s="1249">
        <f t="shared" si="61"/>
        <v>0</v>
      </c>
      <c r="AB149" s="1249">
        <f t="shared" si="61"/>
        <v>0.32374083382262742</v>
      </c>
      <c r="AC149" s="1282">
        <f t="shared" si="47"/>
        <v>0.99999999999999989</v>
      </c>
    </row>
    <row r="150" spans="1:29" ht="16.5" thickBot="1">
      <c r="A150" s="758">
        <f t="shared" si="56"/>
        <v>2050</v>
      </c>
      <c r="B150" s="1656">
        <f>INDEX(Drivers!$A$8:$AM$8,1,$A150-2018)/1000</f>
        <v>75.517908999999989</v>
      </c>
      <c r="C150" s="1658">
        <f>INDEX(Drivers!$A$16:$AM$16,1,$A150-2018)</f>
        <v>8670.5902188603068</v>
      </c>
      <c r="D150" s="1659">
        <f>INDEX(Drivers!$A$25:$AM$25,1,$A150-2018)/INDEX(Drivers!$A$25:$AM$25,1,$A150-2019)*D149</f>
        <v>234472.04963882058</v>
      </c>
      <c r="E150" s="762">
        <f t="shared" si="52"/>
        <v>234472.04963882058</v>
      </c>
      <c r="F150" s="1122"/>
      <c r="G150" s="1122"/>
      <c r="H150" s="1123"/>
      <c r="I150" s="1298">
        <f t="shared" si="51"/>
        <v>424.26313389388866</v>
      </c>
      <c r="J150" s="1299">
        <f t="shared" si="53"/>
        <v>12.031045626813224</v>
      </c>
      <c r="K150" s="1300">
        <f t="shared" si="41"/>
        <v>32039.464737453494</v>
      </c>
      <c r="L150" s="1300">
        <f t="shared" si="54"/>
        <v>104550.73858414764</v>
      </c>
      <c r="M150" s="1301">
        <f t="shared" si="55"/>
        <v>104550.73858414764</v>
      </c>
      <c r="N150" s="1284">
        <f t="shared" si="60"/>
        <v>0.19892488097366726</v>
      </c>
      <c r="O150" s="1284">
        <f t="shared" si="60"/>
        <v>0.26585903447659598</v>
      </c>
      <c r="P150" s="1284">
        <f t="shared" si="60"/>
        <v>8.9228108703258049E-2</v>
      </c>
      <c r="Q150" s="1284">
        <f t="shared" si="60"/>
        <v>0</v>
      </c>
      <c r="R150" s="1284">
        <f t="shared" si="60"/>
        <v>0</v>
      </c>
      <c r="S150" s="1284">
        <f t="shared" si="60"/>
        <v>0</v>
      </c>
      <c r="T150" s="1284">
        <f t="shared" si="60"/>
        <v>0.4459879758464787</v>
      </c>
      <c r="U150" s="1285">
        <f t="shared" si="59"/>
        <v>1</v>
      </c>
      <c r="V150" s="1286">
        <f t="shared" si="61"/>
        <v>0.29028184578274857</v>
      </c>
      <c r="W150" s="1284">
        <f t="shared" si="61"/>
        <v>0.30317187715157518</v>
      </c>
      <c r="X150" s="1284">
        <f t="shared" si="61"/>
        <v>8.2805443243048754E-2</v>
      </c>
      <c r="Y150" s="1284">
        <f t="shared" si="61"/>
        <v>0</v>
      </c>
      <c r="Z150" s="1284">
        <f t="shared" si="61"/>
        <v>0</v>
      </c>
      <c r="AA150" s="1284">
        <f t="shared" si="61"/>
        <v>0</v>
      </c>
      <c r="AB150" s="1284">
        <f t="shared" si="61"/>
        <v>0.32374083382262742</v>
      </c>
      <c r="AC150" s="1285">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7" t="s">
        <v>665</v>
      </c>
      <c r="X3" s="1768"/>
      <c r="Y3" s="1768"/>
      <c r="Z3" s="1768"/>
      <c r="AA3" s="1768"/>
      <c r="AB3" s="1768"/>
      <c r="AC3" s="1768"/>
      <c r="AD3" s="1769"/>
      <c r="AE3" s="1" t="s">
        <v>782</v>
      </c>
    </row>
    <row r="4" spans="1:16381" ht="15.75" thickBot="1"/>
    <row r="5" spans="1:16381" ht="16.149999999999999" customHeight="1" thickBot="1">
      <c r="C5" s="1770" t="s">
        <v>294</v>
      </c>
      <c r="D5" s="1771"/>
      <c r="E5" s="1771"/>
      <c r="F5" s="1771"/>
      <c r="G5" s="1771"/>
      <c r="H5" s="1771"/>
      <c r="I5" s="1771"/>
      <c r="J5" s="1771"/>
      <c r="K5" s="1772"/>
      <c r="L5" s="1737" t="s">
        <v>516</v>
      </c>
      <c r="M5" s="1738"/>
      <c r="N5" s="1738"/>
      <c r="O5" s="1738"/>
      <c r="P5" s="1739"/>
      <c r="Q5" s="1743" t="s">
        <v>518</v>
      </c>
      <c r="R5" s="1744"/>
      <c r="S5" s="1744"/>
      <c r="T5" s="1744"/>
      <c r="U5" s="1745"/>
      <c r="W5" s="736"/>
      <c r="X5" s="1775" t="s">
        <v>643</v>
      </c>
      <c r="Y5" s="1776"/>
      <c r="Z5" s="1776"/>
      <c r="AA5" s="1776"/>
      <c r="AB5" s="1777"/>
      <c r="AC5" s="115"/>
      <c r="AD5" s="1748" t="s">
        <v>641</v>
      </c>
      <c r="AE5" s="1749"/>
      <c r="AF5" s="1749"/>
      <c r="AG5" s="1749"/>
      <c r="AH5" s="1750"/>
      <c r="AI5" s="1634"/>
      <c r="AJ5" s="1748" t="s">
        <v>645</v>
      </c>
      <c r="AK5" s="1749"/>
      <c r="AL5" s="1749"/>
      <c r="AM5" s="1749"/>
      <c r="AN5" s="1750"/>
      <c r="AO5" s="1683"/>
      <c r="AP5" s="1748" t="s">
        <v>649</v>
      </c>
      <c r="AQ5" s="1749"/>
      <c r="AR5" s="1749"/>
      <c r="AS5" s="1749"/>
      <c r="AT5" s="1750"/>
      <c r="AU5" s="1683"/>
      <c r="AV5" s="1748" t="s">
        <v>659</v>
      </c>
      <c r="AW5" s="1749"/>
      <c r="AX5" s="1749"/>
      <c r="AY5" s="1749"/>
      <c r="AZ5" s="1750"/>
      <c r="BA5" s="1634"/>
      <c r="BB5" s="1748" t="s">
        <v>655</v>
      </c>
      <c r="BC5" s="1749"/>
      <c r="BD5" s="1749"/>
      <c r="BE5" s="1749"/>
      <c r="BF5" s="1750"/>
      <c r="BH5" s="1751" t="s">
        <v>217</v>
      </c>
      <c r="BI5" s="1725" t="s">
        <v>635</v>
      </c>
      <c r="BJ5" s="1726"/>
      <c r="BK5" s="1727"/>
      <c r="BL5" s="1726" t="s">
        <v>638</v>
      </c>
      <c r="BM5" s="1726"/>
      <c r="BN5" s="1727"/>
      <c r="BO5" s="1725" t="s">
        <v>646</v>
      </c>
      <c r="BP5" s="1726"/>
      <c r="BQ5" s="1726"/>
      <c r="BR5" s="1725" t="s">
        <v>650</v>
      </c>
      <c r="BS5" s="1726"/>
      <c r="BT5" s="1727"/>
      <c r="BU5" s="1725" t="s">
        <v>660</v>
      </c>
      <c r="BV5" s="1726"/>
      <c r="BW5" s="1727"/>
      <c r="BX5" s="1725" t="s">
        <v>656</v>
      </c>
      <c r="BY5" s="1726"/>
      <c r="BZ5" s="1727"/>
      <c r="CB5" s="1725" t="s">
        <v>796</v>
      </c>
      <c r="CC5" s="1726"/>
      <c r="CD5" s="1726"/>
      <c r="CE5" s="1727"/>
      <c r="CF5" s="1725" t="s">
        <v>796</v>
      </c>
      <c r="CG5" s="1726"/>
      <c r="CH5" s="1726"/>
      <c r="CI5" s="1727"/>
      <c r="CJ5" s="1725" t="s">
        <v>796</v>
      </c>
      <c r="CK5" s="1726"/>
      <c r="CL5" s="1726"/>
      <c r="CM5" s="1727"/>
    </row>
    <row r="6" spans="1:16381" ht="16.149999999999999" customHeight="1" thickBot="1">
      <c r="A6" s="1754" t="s">
        <v>217</v>
      </c>
      <c r="B6" s="1762" t="s">
        <v>292</v>
      </c>
      <c r="C6" s="306" t="s">
        <v>187</v>
      </c>
      <c r="D6" s="1764" t="s">
        <v>194</v>
      </c>
      <c r="E6" s="1765"/>
      <c r="F6" s="1766"/>
      <c r="G6" s="1764" t="s">
        <v>189</v>
      </c>
      <c r="H6" s="1765"/>
      <c r="I6" s="1766"/>
      <c r="J6" s="1764" t="s">
        <v>192</v>
      </c>
      <c r="K6" s="1766"/>
      <c r="L6" s="507" t="s">
        <v>187</v>
      </c>
      <c r="M6" s="1746" t="s">
        <v>194</v>
      </c>
      <c r="N6" s="1747"/>
      <c r="O6" s="505" t="s">
        <v>189</v>
      </c>
      <c r="P6" s="510" t="s">
        <v>514</v>
      </c>
      <c r="Q6" s="509" t="s">
        <v>187</v>
      </c>
      <c r="R6" s="512" t="s">
        <v>194</v>
      </c>
      <c r="S6" s="512" t="s">
        <v>513</v>
      </c>
      <c r="T6" s="512" t="s">
        <v>517</v>
      </c>
      <c r="U6" s="513">
        <v>4</v>
      </c>
      <c r="W6" s="1773" t="s">
        <v>217</v>
      </c>
      <c r="X6" s="1130" t="s">
        <v>187</v>
      </c>
      <c r="Y6" s="1131" t="s">
        <v>194</v>
      </c>
      <c r="Z6" s="1131" t="s">
        <v>513</v>
      </c>
      <c r="AA6" s="1131" t="s">
        <v>517</v>
      </c>
      <c r="AB6" s="1132">
        <v>4</v>
      </c>
      <c r="AC6" s="104"/>
      <c r="AD6" s="1130" t="s">
        <v>187</v>
      </c>
      <c r="AE6" s="1131" t="s">
        <v>194</v>
      </c>
      <c r="AF6" s="1131" t="s">
        <v>513</v>
      </c>
      <c r="AG6" s="1131" t="s">
        <v>517</v>
      </c>
      <c r="AH6" s="1132">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2"/>
      <c r="BI6" s="1731"/>
      <c r="BJ6" s="1732"/>
      <c r="BK6" s="1733"/>
      <c r="BL6" s="1732"/>
      <c r="BM6" s="1732"/>
      <c r="BN6" s="1733"/>
      <c r="BO6" s="1731"/>
      <c r="BP6" s="1732"/>
      <c r="BQ6" s="1732"/>
      <c r="BR6" s="1731"/>
      <c r="BS6" s="1732"/>
      <c r="BT6" s="1733"/>
      <c r="BU6" s="1731"/>
      <c r="BV6" s="1732"/>
      <c r="BW6" s="1733"/>
      <c r="BX6" s="1731"/>
      <c r="BY6" s="1732"/>
      <c r="BZ6" s="1733"/>
      <c r="CB6" s="1728"/>
      <c r="CC6" s="1729"/>
      <c r="CD6" s="1729"/>
      <c r="CE6" s="1730"/>
      <c r="CF6" s="1728"/>
      <c r="CG6" s="1729"/>
      <c r="CH6" s="1729"/>
      <c r="CI6" s="1730"/>
      <c r="CJ6" s="1728"/>
      <c r="CK6" s="1729"/>
      <c r="CL6" s="1729"/>
      <c r="CM6" s="1730"/>
    </row>
    <row r="7" spans="1:16381" ht="90.75" thickBot="1">
      <c r="A7" s="1755"/>
      <c r="B7" s="1763"/>
      <c r="C7" s="502" t="s">
        <v>233</v>
      </c>
      <c r="D7" s="503" t="s">
        <v>234</v>
      </c>
      <c r="E7" s="1758" t="s">
        <v>176</v>
      </c>
      <c r="F7" s="1759"/>
      <c r="G7" s="1757" t="s">
        <v>284</v>
      </c>
      <c r="H7" s="1758"/>
      <c r="I7" s="1759"/>
      <c r="J7" s="1760" t="s">
        <v>193</v>
      </c>
      <c r="K7" s="1761"/>
      <c r="L7" s="508" t="s">
        <v>233</v>
      </c>
      <c r="M7" s="506" t="s">
        <v>234</v>
      </c>
      <c r="N7" s="506" t="s">
        <v>176</v>
      </c>
      <c r="O7" s="506" t="s">
        <v>284</v>
      </c>
      <c r="P7" s="511" t="s">
        <v>193</v>
      </c>
      <c r="Q7" s="509" t="s">
        <v>233</v>
      </c>
      <c r="R7" s="512" t="s">
        <v>512</v>
      </c>
      <c r="S7" s="512" t="s">
        <v>38</v>
      </c>
      <c r="T7" s="512" t="s">
        <v>193</v>
      </c>
      <c r="U7" s="513" t="s">
        <v>627</v>
      </c>
      <c r="W7" s="1774"/>
      <c r="X7" s="1136" t="s">
        <v>233</v>
      </c>
      <c r="Y7" s="1137" t="s">
        <v>512</v>
      </c>
      <c r="Z7" s="1137" t="s">
        <v>38</v>
      </c>
      <c r="AA7" s="1137" t="s">
        <v>193</v>
      </c>
      <c r="AB7" s="1138" t="s">
        <v>627</v>
      </c>
      <c r="AC7" s="1162" t="s">
        <v>745</v>
      </c>
      <c r="AD7" s="1133" t="s">
        <v>233</v>
      </c>
      <c r="AE7" s="1134" t="s">
        <v>512</v>
      </c>
      <c r="AF7" s="1134" t="s">
        <v>38</v>
      </c>
      <c r="AG7" s="1134" t="s">
        <v>193</v>
      </c>
      <c r="AH7" s="1135" t="s">
        <v>627</v>
      </c>
      <c r="AI7" s="1162" t="s">
        <v>745</v>
      </c>
      <c r="AJ7" s="509" t="s">
        <v>233</v>
      </c>
      <c r="AK7" s="512" t="s">
        <v>512</v>
      </c>
      <c r="AL7" s="512" t="s">
        <v>38</v>
      </c>
      <c r="AM7" s="512" t="s">
        <v>193</v>
      </c>
      <c r="AN7" s="513" t="s">
        <v>627</v>
      </c>
      <c r="AO7" s="1162" t="s">
        <v>745</v>
      </c>
      <c r="AP7" s="509" t="s">
        <v>233</v>
      </c>
      <c r="AQ7" s="512" t="s">
        <v>512</v>
      </c>
      <c r="AR7" s="512" t="s">
        <v>38</v>
      </c>
      <c r="AS7" s="512" t="s">
        <v>193</v>
      </c>
      <c r="AT7" s="513" t="s">
        <v>627</v>
      </c>
      <c r="AU7" s="1162" t="s">
        <v>745</v>
      </c>
      <c r="AV7" s="509" t="s">
        <v>233</v>
      </c>
      <c r="AW7" s="512" t="s">
        <v>512</v>
      </c>
      <c r="AX7" s="512" t="s">
        <v>38</v>
      </c>
      <c r="AY7" s="512" t="s">
        <v>193</v>
      </c>
      <c r="AZ7" s="513" t="s">
        <v>627</v>
      </c>
      <c r="BA7" s="1162" t="s">
        <v>745</v>
      </c>
      <c r="BB7" s="509" t="s">
        <v>233</v>
      </c>
      <c r="BC7" s="512" t="s">
        <v>512</v>
      </c>
      <c r="BD7" s="512" t="s">
        <v>38</v>
      </c>
      <c r="BE7" s="512" t="s">
        <v>193</v>
      </c>
      <c r="BF7" s="513" t="s">
        <v>627</v>
      </c>
      <c r="BG7" s="1162" t="s">
        <v>745</v>
      </c>
      <c r="BH7" s="1752"/>
      <c r="BI7" s="1098" t="s">
        <v>644</v>
      </c>
      <c r="BJ7" s="40" t="s">
        <v>794</v>
      </c>
      <c r="BK7" s="1099" t="s">
        <v>783</v>
      </c>
      <c r="BL7" s="1389" t="s">
        <v>642</v>
      </c>
      <c r="BM7" s="1390" t="s">
        <v>793</v>
      </c>
      <c r="BN7" s="1391" t="s">
        <v>784</v>
      </c>
      <c r="BO7" s="1159" t="s">
        <v>648</v>
      </c>
      <c r="BP7" s="40" t="s">
        <v>792</v>
      </c>
      <c r="BQ7" s="513" t="s">
        <v>785</v>
      </c>
      <c r="BR7" s="1098" t="s">
        <v>652</v>
      </c>
      <c r="BS7" s="40" t="s">
        <v>791</v>
      </c>
      <c r="BT7" s="1099" t="s">
        <v>786</v>
      </c>
      <c r="BU7" s="1098" t="s">
        <v>662</v>
      </c>
      <c r="BV7" s="40" t="s">
        <v>790</v>
      </c>
      <c r="BW7" s="513" t="s">
        <v>787</v>
      </c>
      <c r="BX7" s="1098" t="s">
        <v>658</v>
      </c>
      <c r="BY7" s="40" t="s">
        <v>789</v>
      </c>
      <c r="BZ7" s="513" t="s">
        <v>788</v>
      </c>
      <c r="CB7" s="1098" t="s">
        <v>805</v>
      </c>
      <c r="CC7" s="1099" t="s">
        <v>806</v>
      </c>
      <c r="CD7" s="40" t="s">
        <v>805</v>
      </c>
      <c r="CE7" s="1099" t="s">
        <v>804</v>
      </c>
      <c r="CF7" s="40" t="s">
        <v>803</v>
      </c>
      <c r="CG7" s="1099" t="s">
        <v>802</v>
      </c>
      <c r="CH7" s="40" t="s">
        <v>801</v>
      </c>
      <c r="CI7" s="1160" t="s">
        <v>800</v>
      </c>
      <c r="CJ7" s="1098" t="s">
        <v>799</v>
      </c>
      <c r="CK7" s="40" t="s">
        <v>798</v>
      </c>
      <c r="CL7" s="40" t="s">
        <v>795</v>
      </c>
      <c r="CM7" s="1099" t="s">
        <v>797</v>
      </c>
    </row>
    <row r="8" spans="1:16381" ht="15.75" thickBot="1">
      <c r="A8" s="1756"/>
      <c r="B8" s="307" t="s">
        <v>293</v>
      </c>
      <c r="C8" s="307" t="s">
        <v>188</v>
      </c>
      <c r="D8" s="308" t="s">
        <v>188</v>
      </c>
      <c r="E8" s="309" t="s">
        <v>188</v>
      </c>
      <c r="F8" s="310" t="s">
        <v>191</v>
      </c>
      <c r="G8" s="311" t="s">
        <v>190</v>
      </c>
      <c r="H8" s="309" t="s">
        <v>188</v>
      </c>
      <c r="I8" s="310" t="s">
        <v>191</v>
      </c>
      <c r="J8" s="985" t="s">
        <v>188</v>
      </c>
      <c r="K8" s="504" t="s">
        <v>191</v>
      </c>
      <c r="L8" s="1734" t="s">
        <v>515</v>
      </c>
      <c r="M8" s="1735"/>
      <c r="N8" s="1735"/>
      <c r="O8" s="1735"/>
      <c r="P8" s="1736"/>
      <c r="Q8" s="1740" t="s">
        <v>515</v>
      </c>
      <c r="R8" s="1741"/>
      <c r="S8" s="1741"/>
      <c r="T8" s="1741"/>
      <c r="U8" s="1742"/>
      <c r="W8" s="127"/>
      <c r="X8" s="1148" t="s">
        <v>643</v>
      </c>
      <c r="Y8" s="335" t="s">
        <v>643</v>
      </c>
      <c r="Z8" s="335" t="s">
        <v>643</v>
      </c>
      <c r="AA8" s="335" t="s">
        <v>643</v>
      </c>
      <c r="AB8" s="1149" t="s">
        <v>643</v>
      </c>
      <c r="AC8" s="104"/>
      <c r="AD8" s="1146" t="s">
        <v>641</v>
      </c>
      <c r="AE8" s="1139" t="s">
        <v>641</v>
      </c>
      <c r="AF8" s="1139" t="s">
        <v>641</v>
      </c>
      <c r="AG8" s="1139" t="s">
        <v>641</v>
      </c>
      <c r="AH8" s="1140" t="s">
        <v>641</v>
      </c>
      <c r="AI8" s="131"/>
      <c r="AJ8" s="1146" t="s">
        <v>645</v>
      </c>
      <c r="AK8" s="1139" t="s">
        <v>645</v>
      </c>
      <c r="AL8" s="1139" t="s">
        <v>645</v>
      </c>
      <c r="AM8" s="1139" t="s">
        <v>645</v>
      </c>
      <c r="AN8" s="1140" t="s">
        <v>645</v>
      </c>
      <c r="AO8" s="169"/>
      <c r="AP8" s="1146" t="s">
        <v>649</v>
      </c>
      <c r="AQ8" s="1139" t="s">
        <v>649</v>
      </c>
      <c r="AR8" s="1139" t="s">
        <v>649</v>
      </c>
      <c r="AS8" s="1139" t="s">
        <v>649</v>
      </c>
      <c r="AT8" s="1140" t="s">
        <v>649</v>
      </c>
      <c r="AU8" s="169"/>
      <c r="AV8" s="1146" t="s">
        <v>659</v>
      </c>
      <c r="AW8" s="1139" t="s">
        <v>659</v>
      </c>
      <c r="AX8" s="1139" t="s">
        <v>659</v>
      </c>
      <c r="AY8" s="1139" t="s">
        <v>659</v>
      </c>
      <c r="AZ8" s="1140" t="s">
        <v>659</v>
      </c>
      <c r="BA8" s="131"/>
      <c r="BB8" s="1146" t="s">
        <v>655</v>
      </c>
      <c r="BC8" s="1139" t="s">
        <v>655</v>
      </c>
      <c r="BD8" s="1139" t="s">
        <v>655</v>
      </c>
      <c r="BE8" s="1139" t="s">
        <v>655</v>
      </c>
      <c r="BF8" s="1140" t="s">
        <v>655</v>
      </c>
      <c r="BH8" s="1753"/>
      <c r="BI8" s="1153" t="s">
        <v>625</v>
      </c>
      <c r="BJ8" s="1154" t="s">
        <v>229</v>
      </c>
      <c r="BK8" s="1155" t="s">
        <v>625</v>
      </c>
      <c r="BL8" s="1153" t="s">
        <v>625</v>
      </c>
      <c r="BM8" s="1154" t="s">
        <v>229</v>
      </c>
      <c r="BN8" s="1155" t="s">
        <v>625</v>
      </c>
      <c r="BO8" s="1302" t="s">
        <v>625</v>
      </c>
      <c r="BP8" s="1154" t="s">
        <v>229</v>
      </c>
      <c r="BQ8" s="1155" t="s">
        <v>625</v>
      </c>
      <c r="BR8" s="1153" t="s">
        <v>625</v>
      </c>
      <c r="BS8" s="1154" t="s">
        <v>229</v>
      </c>
      <c r="BT8" s="1155" t="s">
        <v>625</v>
      </c>
      <c r="BU8" s="1153" t="s">
        <v>625</v>
      </c>
      <c r="BV8" s="1154" t="s">
        <v>229</v>
      </c>
      <c r="BW8" s="1155" t="s">
        <v>625</v>
      </c>
      <c r="BX8" s="1153" t="s">
        <v>625</v>
      </c>
      <c r="BY8" s="1154" t="s">
        <v>229</v>
      </c>
      <c r="BZ8" s="1155" t="s">
        <v>625</v>
      </c>
      <c r="CB8" s="67" t="s">
        <v>229</v>
      </c>
      <c r="CC8" s="68" t="s">
        <v>229</v>
      </c>
      <c r="CD8" s="1158" t="s">
        <v>229</v>
      </c>
      <c r="CE8" s="68" t="s">
        <v>229</v>
      </c>
      <c r="CF8" s="1158" t="s">
        <v>229</v>
      </c>
      <c r="CG8" s="68" t="s">
        <v>229</v>
      </c>
      <c r="CH8" s="1158" t="s">
        <v>229</v>
      </c>
      <c r="CI8" s="1161" t="s">
        <v>229</v>
      </c>
      <c r="CJ8" s="67" t="s">
        <v>229</v>
      </c>
      <c r="CK8" s="1158" t="s">
        <v>229</v>
      </c>
      <c r="CL8" s="115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2">
        <f>SUM(X10:AA10)</f>
        <v>19101.986804256449</v>
      </c>
      <c r="AC10" s="1102"/>
      <c r="AD10" s="1101">
        <f>Q10</f>
        <v>15699.590857197203</v>
      </c>
      <c r="AE10" s="1102">
        <f t="shared" ref="AE10:AG10" si="2">R10</f>
        <v>317.6894945273184</v>
      </c>
      <c r="AF10" s="1102">
        <f t="shared" si="2"/>
        <v>252.83335953932928</v>
      </c>
      <c r="AG10" s="1102">
        <f t="shared" si="2"/>
        <v>2831.8730929925982</v>
      </c>
      <c r="AH10" s="1142">
        <f>SUM(AD10:AG10)</f>
        <v>19101.986804256449</v>
      </c>
      <c r="AI10" s="1421"/>
      <c r="AJ10" s="1101">
        <f>Q10</f>
        <v>15699.590857197203</v>
      </c>
      <c r="AK10" s="1102">
        <f t="shared" ref="AK10:AM10" si="3">R10</f>
        <v>317.6894945273184</v>
      </c>
      <c r="AL10" s="1102">
        <f t="shared" si="3"/>
        <v>252.83335953932928</v>
      </c>
      <c r="AM10" s="1102">
        <f t="shared" si="3"/>
        <v>2831.8730929925982</v>
      </c>
      <c r="AN10" s="1142">
        <f>SUM(AJ10:AM10)</f>
        <v>19101.986804256449</v>
      </c>
      <c r="AO10" s="1418"/>
      <c r="AP10" s="1101">
        <f>Q10</f>
        <v>15699.590857197203</v>
      </c>
      <c r="AQ10" s="1102">
        <f t="shared" ref="AQ10:AS10" si="4">R10</f>
        <v>317.6894945273184</v>
      </c>
      <c r="AR10" s="1102">
        <f t="shared" si="4"/>
        <v>252.83335953932928</v>
      </c>
      <c r="AS10" s="1102">
        <f t="shared" si="4"/>
        <v>2831.8730929925982</v>
      </c>
      <c r="AT10" s="1142">
        <f>SUM(AP10:AS10)</f>
        <v>19101.986804256449</v>
      </c>
      <c r="AU10" s="1414"/>
      <c r="AV10" s="1101">
        <f>X10</f>
        <v>15699.590857197203</v>
      </c>
      <c r="AW10" s="1102">
        <f>Y10</f>
        <v>317.6894945273184</v>
      </c>
      <c r="AX10" s="1102">
        <f>Z10</f>
        <v>252.83335953932928</v>
      </c>
      <c r="AY10" s="1102">
        <f>AA10</f>
        <v>2831.8730929925982</v>
      </c>
      <c r="AZ10" s="1142">
        <f>SUM(AV10:AY10)</f>
        <v>19101.986804256449</v>
      </c>
      <c r="BA10" s="1424"/>
      <c r="BB10" s="1101">
        <f>Q10</f>
        <v>15699.590857197203</v>
      </c>
      <c r="BC10" s="1102">
        <f t="shared" ref="BC10:BE10" si="5">R10</f>
        <v>317.6894945273184</v>
      </c>
      <c r="BD10" s="1102">
        <f t="shared" si="5"/>
        <v>252.83335953932928</v>
      </c>
      <c r="BE10" s="1102">
        <f t="shared" si="5"/>
        <v>2831.8730929925982</v>
      </c>
      <c r="BF10" s="1142">
        <f>SUM(BB10:BE10)</f>
        <v>19101.986804256449</v>
      </c>
      <c r="BG10" s="1426"/>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2">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2">
        <f t="shared" ref="AH11:AH26" si="27">SUM(AD11:AG11)</f>
        <v>19669.054806154025</v>
      </c>
      <c r="AI11" s="1422"/>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2">
        <f t="shared" ref="AN11:AN27" si="32">AB11</f>
        <v>19669.054806154025</v>
      </c>
      <c r="AO11" s="1419"/>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2">
        <f t="shared" ref="AT11:AT60" si="37">SUM(AP11:AS11)</f>
        <v>19669.054806154025</v>
      </c>
      <c r="AU11" s="1414"/>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2">
        <f t="shared" ref="AZ11:AZ27" si="42">AB11</f>
        <v>19669.054806154025</v>
      </c>
      <c r="BA11" s="1424"/>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2">
        <f t="shared" ref="BF11:BF60" si="47">SUM(BB11:BE11)</f>
        <v>19669.054806154025</v>
      </c>
      <c r="BG11" s="1427"/>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2">
        <f t="shared" si="22"/>
        <v>20222.51848020023</v>
      </c>
      <c r="AC12" s="1102"/>
      <c r="AD12" s="1101">
        <f t="shared" si="23"/>
        <v>16696.515596720052</v>
      </c>
      <c r="AE12" s="1102">
        <f t="shared" si="24"/>
        <v>333.8224538634463</v>
      </c>
      <c r="AF12" s="1102">
        <f t="shared" si="25"/>
        <v>261.64230363418824</v>
      </c>
      <c r="AG12" s="1102">
        <f t="shared" si="26"/>
        <v>2930.5381259825444</v>
      </c>
      <c r="AH12" s="1142">
        <f t="shared" si="27"/>
        <v>20222.51848020023</v>
      </c>
      <c r="AI12" s="1422"/>
      <c r="AJ12" s="1101">
        <f t="shared" si="28"/>
        <v>16696.515596720052</v>
      </c>
      <c r="AK12" s="1102">
        <f t="shared" si="29"/>
        <v>333.8224538634463</v>
      </c>
      <c r="AL12" s="1102">
        <f t="shared" si="30"/>
        <v>261.64230363418824</v>
      </c>
      <c r="AM12" s="1102">
        <f t="shared" si="31"/>
        <v>2930.5381259825444</v>
      </c>
      <c r="AN12" s="1142">
        <f t="shared" si="32"/>
        <v>20222.51848020023</v>
      </c>
      <c r="AO12" s="1419"/>
      <c r="AP12" s="1101">
        <f t="shared" si="33"/>
        <v>16696.515596720052</v>
      </c>
      <c r="AQ12" s="1102">
        <f t="shared" si="34"/>
        <v>333.8224538634463</v>
      </c>
      <c r="AR12" s="1102">
        <f t="shared" si="35"/>
        <v>261.64230363418824</v>
      </c>
      <c r="AS12" s="1102">
        <f t="shared" si="36"/>
        <v>2930.5381259825444</v>
      </c>
      <c r="AT12" s="1142">
        <f t="shared" si="37"/>
        <v>20222.51848020023</v>
      </c>
      <c r="AU12" s="1414"/>
      <c r="AV12" s="1101">
        <f t="shared" si="38"/>
        <v>16696.515596720052</v>
      </c>
      <c r="AW12" s="1102">
        <f t="shared" si="39"/>
        <v>333.8224538634463</v>
      </c>
      <c r="AX12" s="1102">
        <f t="shared" si="40"/>
        <v>261.64230363418824</v>
      </c>
      <c r="AY12" s="1102">
        <f t="shared" si="41"/>
        <v>2930.5381259825444</v>
      </c>
      <c r="AZ12" s="1142">
        <f t="shared" si="42"/>
        <v>20222.51848020023</v>
      </c>
      <c r="BA12" s="1424"/>
      <c r="BB12" s="1101">
        <f t="shared" si="43"/>
        <v>16696.515596720052</v>
      </c>
      <c r="BC12" s="1102">
        <f t="shared" si="44"/>
        <v>333.8224538634463</v>
      </c>
      <c r="BD12" s="1102">
        <f t="shared" si="45"/>
        <v>261.64230363418824</v>
      </c>
      <c r="BE12" s="1102">
        <f t="shared" si="46"/>
        <v>2930.5381259825444</v>
      </c>
      <c r="BF12" s="1142">
        <f t="shared" si="47"/>
        <v>20222.51848020023</v>
      </c>
      <c r="BG12" s="1427"/>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2">
        <f t="shared" si="22"/>
        <v>20780.356450634568</v>
      </c>
      <c r="AC13" s="1102"/>
      <c r="AD13" s="1101">
        <f t="shared" si="23"/>
        <v>17206.223024529128</v>
      </c>
      <c r="AE13" s="1102">
        <f t="shared" si="24"/>
        <v>341.08063599266143</v>
      </c>
      <c r="AF13" s="1102">
        <f t="shared" si="25"/>
        <v>264.99234564808432</v>
      </c>
      <c r="AG13" s="1102">
        <f t="shared" si="26"/>
        <v>2968.0604444646974</v>
      </c>
      <c r="AH13" s="1142">
        <f t="shared" si="27"/>
        <v>20780.356450634568</v>
      </c>
      <c r="AI13" s="1422"/>
      <c r="AJ13" s="1101">
        <f t="shared" si="28"/>
        <v>17206.223024529128</v>
      </c>
      <c r="AK13" s="1102">
        <f t="shared" si="29"/>
        <v>341.08063599266143</v>
      </c>
      <c r="AL13" s="1102">
        <f t="shared" si="30"/>
        <v>264.99234564808432</v>
      </c>
      <c r="AM13" s="1102">
        <f t="shared" si="31"/>
        <v>2968.0604444646974</v>
      </c>
      <c r="AN13" s="1142">
        <f t="shared" si="32"/>
        <v>20780.356450634568</v>
      </c>
      <c r="AO13" s="1419"/>
      <c r="AP13" s="1101">
        <f t="shared" si="33"/>
        <v>17206.223024529128</v>
      </c>
      <c r="AQ13" s="1102">
        <f t="shared" si="34"/>
        <v>341.08063599266143</v>
      </c>
      <c r="AR13" s="1102">
        <f t="shared" si="35"/>
        <v>264.99234564808432</v>
      </c>
      <c r="AS13" s="1102">
        <f t="shared" si="36"/>
        <v>2968.0604444646974</v>
      </c>
      <c r="AT13" s="1142">
        <f t="shared" si="37"/>
        <v>20780.356450634568</v>
      </c>
      <c r="AU13" s="1414"/>
      <c r="AV13" s="1101">
        <f t="shared" si="38"/>
        <v>17206.223024529128</v>
      </c>
      <c r="AW13" s="1102">
        <f t="shared" si="39"/>
        <v>341.08063599266143</v>
      </c>
      <c r="AX13" s="1102">
        <f t="shared" si="40"/>
        <v>264.99234564808432</v>
      </c>
      <c r="AY13" s="1102">
        <f t="shared" si="41"/>
        <v>2968.0604444646974</v>
      </c>
      <c r="AZ13" s="1142">
        <f t="shared" si="42"/>
        <v>20780.356450634568</v>
      </c>
      <c r="BA13" s="1424"/>
      <c r="BB13" s="1101">
        <f t="shared" si="43"/>
        <v>17206.223024529128</v>
      </c>
      <c r="BC13" s="1102">
        <f t="shared" si="44"/>
        <v>341.08063599266143</v>
      </c>
      <c r="BD13" s="1102">
        <f t="shared" si="45"/>
        <v>264.99234564808432</v>
      </c>
      <c r="BE13" s="1102">
        <f t="shared" si="46"/>
        <v>2968.0604444646974</v>
      </c>
      <c r="BF13" s="1142">
        <f t="shared" si="47"/>
        <v>20780.356450634568</v>
      </c>
      <c r="BG13" s="1427"/>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2">
        <f t="shared" si="22"/>
        <v>21275.886960369939</v>
      </c>
      <c r="AC14" s="1102"/>
      <c r="AD14" s="1101">
        <f t="shared" si="23"/>
        <v>17653.011273218937</v>
      </c>
      <c r="AE14" s="1102">
        <f t="shared" si="24"/>
        <v>351.33417334640478</v>
      </c>
      <c r="AF14" s="1102">
        <f t="shared" si="25"/>
        <v>268.1470164296091</v>
      </c>
      <c r="AG14" s="1102">
        <f t="shared" si="26"/>
        <v>3003.3944973749908</v>
      </c>
      <c r="AH14" s="1142">
        <f t="shared" si="27"/>
        <v>21275.886960369939</v>
      </c>
      <c r="AI14" s="1422"/>
      <c r="AJ14" s="1101">
        <f t="shared" si="28"/>
        <v>17653.011273218937</v>
      </c>
      <c r="AK14" s="1102">
        <f t="shared" si="29"/>
        <v>351.33417334640478</v>
      </c>
      <c r="AL14" s="1102">
        <f t="shared" si="30"/>
        <v>268.1470164296091</v>
      </c>
      <c r="AM14" s="1102">
        <f t="shared" si="31"/>
        <v>3003.3944973749908</v>
      </c>
      <c r="AN14" s="1142">
        <f t="shared" si="32"/>
        <v>21275.886960369939</v>
      </c>
      <c r="AO14" s="1419"/>
      <c r="AP14" s="1101">
        <f t="shared" si="33"/>
        <v>17653.011273218937</v>
      </c>
      <c r="AQ14" s="1102">
        <f t="shared" si="34"/>
        <v>351.33417334640478</v>
      </c>
      <c r="AR14" s="1102">
        <f t="shared" si="35"/>
        <v>268.1470164296091</v>
      </c>
      <c r="AS14" s="1102">
        <f t="shared" si="36"/>
        <v>3003.3944973749908</v>
      </c>
      <c r="AT14" s="1142">
        <f t="shared" si="37"/>
        <v>21275.886960369939</v>
      </c>
      <c r="AU14" s="1414"/>
      <c r="AV14" s="1101">
        <f t="shared" si="38"/>
        <v>17653.011273218937</v>
      </c>
      <c r="AW14" s="1102">
        <f t="shared" si="39"/>
        <v>351.33417334640478</v>
      </c>
      <c r="AX14" s="1102">
        <f t="shared" si="40"/>
        <v>268.1470164296091</v>
      </c>
      <c r="AY14" s="1102">
        <f t="shared" si="41"/>
        <v>3003.3944973749908</v>
      </c>
      <c r="AZ14" s="1142">
        <f t="shared" si="42"/>
        <v>21275.886960369939</v>
      </c>
      <c r="BA14" s="1424"/>
      <c r="BB14" s="1101">
        <f t="shared" si="43"/>
        <v>17653.011273218937</v>
      </c>
      <c r="BC14" s="1102">
        <f t="shared" si="44"/>
        <v>351.33417334640478</v>
      </c>
      <c r="BD14" s="1102">
        <f t="shared" si="45"/>
        <v>268.1470164296091</v>
      </c>
      <c r="BE14" s="1102">
        <f t="shared" si="46"/>
        <v>3003.3944973749908</v>
      </c>
      <c r="BF14" s="1142">
        <f t="shared" si="47"/>
        <v>21275.886960369939</v>
      </c>
      <c r="BG14" s="1427"/>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2">
        <f t="shared" si="22"/>
        <v>21718.939300037688</v>
      </c>
      <c r="AC15" s="1102"/>
      <c r="AD15" s="1101">
        <f t="shared" si="23"/>
        <v>18046.724983933738</v>
      </c>
      <c r="AE15" s="1102">
        <f t="shared" si="24"/>
        <v>363.30579004481376</v>
      </c>
      <c r="AF15" s="1102">
        <f t="shared" si="25"/>
        <v>271.20974780766511</v>
      </c>
      <c r="AG15" s="1102">
        <f t="shared" si="26"/>
        <v>3037.6987782514689</v>
      </c>
      <c r="AH15" s="1142">
        <f t="shared" si="27"/>
        <v>21718.939300037688</v>
      </c>
      <c r="AI15" s="1422"/>
      <c r="AJ15" s="1101">
        <f t="shared" si="28"/>
        <v>18046.724983933738</v>
      </c>
      <c r="AK15" s="1102">
        <f t="shared" si="29"/>
        <v>363.30579004481376</v>
      </c>
      <c r="AL15" s="1102">
        <f t="shared" si="30"/>
        <v>271.20974780766511</v>
      </c>
      <c r="AM15" s="1102">
        <f t="shared" si="31"/>
        <v>3037.6987782514689</v>
      </c>
      <c r="AN15" s="1142">
        <f t="shared" si="32"/>
        <v>21718.939300037688</v>
      </c>
      <c r="AO15" s="1419"/>
      <c r="AP15" s="1101">
        <f t="shared" si="33"/>
        <v>18046.724983933738</v>
      </c>
      <c r="AQ15" s="1102">
        <f t="shared" si="34"/>
        <v>363.30579004481376</v>
      </c>
      <c r="AR15" s="1102">
        <f t="shared" si="35"/>
        <v>271.20974780766511</v>
      </c>
      <c r="AS15" s="1102">
        <f t="shared" si="36"/>
        <v>3037.6987782514689</v>
      </c>
      <c r="AT15" s="1142">
        <f t="shared" si="37"/>
        <v>21718.939300037688</v>
      </c>
      <c r="AU15" s="1414"/>
      <c r="AV15" s="1101">
        <f t="shared" si="38"/>
        <v>18046.724983933738</v>
      </c>
      <c r="AW15" s="1102">
        <f t="shared" si="39"/>
        <v>363.30579004481376</v>
      </c>
      <c r="AX15" s="1102">
        <f t="shared" si="40"/>
        <v>271.20974780766511</v>
      </c>
      <c r="AY15" s="1102">
        <f t="shared" si="41"/>
        <v>3037.6987782514689</v>
      </c>
      <c r="AZ15" s="1142">
        <f t="shared" si="42"/>
        <v>21718.939300037688</v>
      </c>
      <c r="BA15" s="1424"/>
      <c r="BB15" s="1101">
        <f t="shared" si="43"/>
        <v>18046.724983933738</v>
      </c>
      <c r="BC15" s="1102">
        <f t="shared" si="44"/>
        <v>363.30579004481376</v>
      </c>
      <c r="BD15" s="1102">
        <f t="shared" si="45"/>
        <v>271.20974780766511</v>
      </c>
      <c r="BE15" s="1102">
        <f t="shared" si="46"/>
        <v>3037.6987782514689</v>
      </c>
      <c r="BF15" s="1142">
        <f t="shared" si="47"/>
        <v>21718.939300037688</v>
      </c>
      <c r="BG15" s="1427"/>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2">
        <f t="shared" si="22"/>
        <v>22112.946115273964</v>
      </c>
      <c r="AC16" s="1102"/>
      <c r="AD16" s="1101">
        <f t="shared" si="23"/>
        <v>18390.195075359468</v>
      </c>
      <c r="AE16" s="1102">
        <f t="shared" si="24"/>
        <v>376.47550160082596</v>
      </c>
      <c r="AF16" s="1102">
        <f t="shared" si="25"/>
        <v>274.27247918572107</v>
      </c>
      <c r="AG16" s="1102">
        <f t="shared" si="26"/>
        <v>3072.0030591279478</v>
      </c>
      <c r="AH16" s="1142">
        <f t="shared" si="27"/>
        <v>22112.946115273964</v>
      </c>
      <c r="AI16" s="1422"/>
      <c r="AJ16" s="1101">
        <f t="shared" si="28"/>
        <v>18390.195075359468</v>
      </c>
      <c r="AK16" s="1102">
        <f t="shared" si="29"/>
        <v>376.47550160082596</v>
      </c>
      <c r="AL16" s="1102">
        <f t="shared" si="30"/>
        <v>274.27247918572107</v>
      </c>
      <c r="AM16" s="1102">
        <f t="shared" si="31"/>
        <v>3072.0030591279478</v>
      </c>
      <c r="AN16" s="1142">
        <f t="shared" si="32"/>
        <v>22112.946115273964</v>
      </c>
      <c r="AO16" s="1419"/>
      <c r="AP16" s="1101">
        <f t="shared" si="33"/>
        <v>18390.195075359468</v>
      </c>
      <c r="AQ16" s="1102">
        <f t="shared" si="34"/>
        <v>376.47550160082596</v>
      </c>
      <c r="AR16" s="1102">
        <f t="shared" si="35"/>
        <v>274.27247918572107</v>
      </c>
      <c r="AS16" s="1102">
        <f t="shared" si="36"/>
        <v>3072.0030591279478</v>
      </c>
      <c r="AT16" s="1142">
        <f t="shared" si="37"/>
        <v>22112.946115273964</v>
      </c>
      <c r="AU16" s="1414"/>
      <c r="AV16" s="1101">
        <f t="shared" si="38"/>
        <v>18390.195075359468</v>
      </c>
      <c r="AW16" s="1102">
        <f t="shared" si="39"/>
        <v>376.47550160082596</v>
      </c>
      <c r="AX16" s="1102">
        <f t="shared" si="40"/>
        <v>274.27247918572107</v>
      </c>
      <c r="AY16" s="1102">
        <f t="shared" si="41"/>
        <v>3072.0030591279478</v>
      </c>
      <c r="AZ16" s="1142">
        <f t="shared" si="42"/>
        <v>22112.946115273964</v>
      </c>
      <c r="BA16" s="1424"/>
      <c r="BB16" s="1101">
        <f t="shared" si="43"/>
        <v>18390.195075359468</v>
      </c>
      <c r="BC16" s="1102">
        <f t="shared" si="44"/>
        <v>376.47550160082596</v>
      </c>
      <c r="BD16" s="1102">
        <f t="shared" si="45"/>
        <v>274.27247918572107</v>
      </c>
      <c r="BE16" s="1102">
        <f t="shared" si="46"/>
        <v>3072.0030591279478</v>
      </c>
      <c r="BF16" s="1142">
        <f t="shared" si="47"/>
        <v>22112.946115273964</v>
      </c>
      <c r="BG16" s="1427"/>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2">
        <f t="shared" si="22"/>
        <v>22456.230715951009</v>
      </c>
      <c r="AC17" s="1102"/>
      <c r="AD17" s="1101">
        <f t="shared" si="23"/>
        <v>18683.341889219231</v>
      </c>
      <c r="AE17" s="1102">
        <f t="shared" si="24"/>
        <v>389.73702491738641</v>
      </c>
      <c r="AF17" s="1102">
        <f t="shared" si="25"/>
        <v>277.29498707475938</v>
      </c>
      <c r="AG17" s="1102">
        <f t="shared" si="26"/>
        <v>3105.8568147396318</v>
      </c>
      <c r="AH17" s="1142">
        <f t="shared" si="27"/>
        <v>22456.230715951009</v>
      </c>
      <c r="AI17" s="1422"/>
      <c r="AJ17" s="1101">
        <f t="shared" si="28"/>
        <v>18683.341889219231</v>
      </c>
      <c r="AK17" s="1102">
        <f t="shared" si="29"/>
        <v>389.73702491738641</v>
      </c>
      <c r="AL17" s="1102">
        <f t="shared" si="30"/>
        <v>277.29498707475938</v>
      </c>
      <c r="AM17" s="1102">
        <f t="shared" si="31"/>
        <v>3105.8568147396318</v>
      </c>
      <c r="AN17" s="1142">
        <f t="shared" si="32"/>
        <v>22456.230715951009</v>
      </c>
      <c r="AO17" s="1419"/>
      <c r="AP17" s="1101">
        <f t="shared" si="33"/>
        <v>18683.341889219231</v>
      </c>
      <c r="AQ17" s="1102">
        <f t="shared" si="34"/>
        <v>389.73702491738641</v>
      </c>
      <c r="AR17" s="1102">
        <f t="shared" si="35"/>
        <v>277.29498707475938</v>
      </c>
      <c r="AS17" s="1102">
        <f t="shared" si="36"/>
        <v>3105.8568147396318</v>
      </c>
      <c r="AT17" s="1142">
        <f t="shared" si="37"/>
        <v>22456.230715951009</v>
      </c>
      <c r="AU17" s="1414"/>
      <c r="AV17" s="1101">
        <f t="shared" si="38"/>
        <v>18683.341889219231</v>
      </c>
      <c r="AW17" s="1102">
        <f t="shared" si="39"/>
        <v>389.73702491738641</v>
      </c>
      <c r="AX17" s="1102">
        <f t="shared" si="40"/>
        <v>277.29498707475938</v>
      </c>
      <c r="AY17" s="1102">
        <f t="shared" si="41"/>
        <v>3105.8568147396318</v>
      </c>
      <c r="AZ17" s="1142">
        <f t="shared" si="42"/>
        <v>22456.230715951009</v>
      </c>
      <c r="BA17" s="1424"/>
      <c r="BB17" s="1101">
        <f t="shared" si="43"/>
        <v>18683.341889219231</v>
      </c>
      <c r="BC17" s="1102">
        <f t="shared" si="44"/>
        <v>389.73702491738641</v>
      </c>
      <c r="BD17" s="1102">
        <f t="shared" si="45"/>
        <v>277.29498707475938</v>
      </c>
      <c r="BE17" s="1102">
        <f t="shared" si="46"/>
        <v>3105.8568147396318</v>
      </c>
      <c r="BF17" s="1142">
        <f t="shared" si="47"/>
        <v>22456.230715951009</v>
      </c>
      <c r="BG17" s="1427"/>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2">
        <f t="shared" si="22"/>
        <v>22742.260005334403</v>
      </c>
      <c r="AC18" s="1102"/>
      <c r="AD18" s="1101">
        <f t="shared" si="23"/>
        <v>18922.774617419884</v>
      </c>
      <c r="AE18" s="1102">
        <f t="shared" si="24"/>
        <v>398.75625295109984</v>
      </c>
      <c r="AF18" s="1102">
        <f t="shared" si="25"/>
        <v>280.37495709096584</v>
      </c>
      <c r="AG18" s="1102">
        <f t="shared" si="26"/>
        <v>3140.3541778724511</v>
      </c>
      <c r="AH18" s="1142">
        <f t="shared" si="27"/>
        <v>22742.260005334403</v>
      </c>
      <c r="AI18" s="1422"/>
      <c r="AJ18" s="1101">
        <f t="shared" si="28"/>
        <v>18922.774617419884</v>
      </c>
      <c r="AK18" s="1102">
        <f t="shared" si="29"/>
        <v>398.75625295109984</v>
      </c>
      <c r="AL18" s="1102">
        <f t="shared" si="30"/>
        <v>280.37495709096584</v>
      </c>
      <c r="AM18" s="1102">
        <f t="shared" si="31"/>
        <v>3140.3541778724511</v>
      </c>
      <c r="AN18" s="1142">
        <f t="shared" si="32"/>
        <v>22742.260005334403</v>
      </c>
      <c r="AO18" s="1419"/>
      <c r="AP18" s="1101">
        <f t="shared" si="33"/>
        <v>18922.774617419884</v>
      </c>
      <c r="AQ18" s="1102">
        <f t="shared" si="34"/>
        <v>398.75625295109984</v>
      </c>
      <c r="AR18" s="1102">
        <f t="shared" si="35"/>
        <v>280.37495709096584</v>
      </c>
      <c r="AS18" s="1102">
        <f t="shared" si="36"/>
        <v>3140.3541778724511</v>
      </c>
      <c r="AT18" s="1142">
        <f t="shared" si="37"/>
        <v>22742.260005334403</v>
      </c>
      <c r="AU18" s="1414"/>
      <c r="AV18" s="1101">
        <f t="shared" si="38"/>
        <v>18922.774617419884</v>
      </c>
      <c r="AW18" s="1102">
        <f t="shared" si="39"/>
        <v>398.75625295109984</v>
      </c>
      <c r="AX18" s="1102">
        <f t="shared" si="40"/>
        <v>280.37495709096584</v>
      </c>
      <c r="AY18" s="1102">
        <f t="shared" si="41"/>
        <v>3140.3541778724511</v>
      </c>
      <c r="AZ18" s="1142">
        <f t="shared" si="42"/>
        <v>22742.260005334403</v>
      </c>
      <c r="BA18" s="1424"/>
      <c r="BB18" s="1101">
        <f t="shared" si="43"/>
        <v>18922.774617419884</v>
      </c>
      <c r="BC18" s="1102">
        <f t="shared" si="44"/>
        <v>398.75625295109984</v>
      </c>
      <c r="BD18" s="1102">
        <f t="shared" si="45"/>
        <v>280.37495709096584</v>
      </c>
      <c r="BE18" s="1102">
        <f t="shared" si="46"/>
        <v>3140.3541778724511</v>
      </c>
      <c r="BF18" s="1142">
        <f t="shared" si="47"/>
        <v>22742.260005334403</v>
      </c>
      <c r="BG18" s="1427"/>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2">
        <f t="shared" si="22"/>
        <v>22952.549030341619</v>
      </c>
      <c r="AC19" s="1102"/>
      <c r="AD19" s="1101">
        <f t="shared" si="23"/>
        <v>19097.901734560917</v>
      </c>
      <c r="AE19" s="1102">
        <f t="shared" si="24"/>
        <v>396.97179035172871</v>
      </c>
      <c r="AF19" s="1102">
        <f t="shared" si="25"/>
        <v>283.40321119272096</v>
      </c>
      <c r="AG19" s="1102">
        <f t="shared" si="26"/>
        <v>3174.2722942362484</v>
      </c>
      <c r="AH19" s="1142">
        <f t="shared" si="27"/>
        <v>22952.549030341619</v>
      </c>
      <c r="AI19" s="1422"/>
      <c r="AJ19" s="1101">
        <f t="shared" si="28"/>
        <v>19097.901734560917</v>
      </c>
      <c r="AK19" s="1102">
        <f t="shared" si="29"/>
        <v>396.97179035172871</v>
      </c>
      <c r="AL19" s="1102">
        <f t="shared" si="30"/>
        <v>283.40321119272096</v>
      </c>
      <c r="AM19" s="1102">
        <f t="shared" si="31"/>
        <v>3174.2722942362484</v>
      </c>
      <c r="AN19" s="1142">
        <f t="shared" si="32"/>
        <v>22952.549030341619</v>
      </c>
      <c r="AO19" s="1419"/>
      <c r="AP19" s="1101">
        <f t="shared" si="33"/>
        <v>19097.901734560917</v>
      </c>
      <c r="AQ19" s="1102">
        <f t="shared" si="34"/>
        <v>396.97179035172871</v>
      </c>
      <c r="AR19" s="1102">
        <f t="shared" si="35"/>
        <v>283.40321119272096</v>
      </c>
      <c r="AS19" s="1102">
        <f t="shared" si="36"/>
        <v>3174.2722942362484</v>
      </c>
      <c r="AT19" s="1142">
        <f t="shared" si="37"/>
        <v>22952.549030341619</v>
      </c>
      <c r="AU19" s="1414"/>
      <c r="AV19" s="1101">
        <f t="shared" si="38"/>
        <v>19097.901734560917</v>
      </c>
      <c r="AW19" s="1102">
        <f t="shared" si="39"/>
        <v>396.97179035172871</v>
      </c>
      <c r="AX19" s="1102">
        <f t="shared" si="40"/>
        <v>283.40321119272096</v>
      </c>
      <c r="AY19" s="1102">
        <f t="shared" si="41"/>
        <v>3174.2722942362484</v>
      </c>
      <c r="AZ19" s="1142">
        <f t="shared" si="42"/>
        <v>22952.549030341619</v>
      </c>
      <c r="BA19" s="1424"/>
      <c r="BB19" s="1101">
        <f t="shared" si="43"/>
        <v>19097.901734560917</v>
      </c>
      <c r="BC19" s="1102">
        <f t="shared" si="44"/>
        <v>396.97179035172871</v>
      </c>
      <c r="BD19" s="1102">
        <f t="shared" si="45"/>
        <v>283.40321119272096</v>
      </c>
      <c r="BE19" s="1102">
        <f t="shared" si="46"/>
        <v>3174.2722942362484</v>
      </c>
      <c r="BF19" s="1142">
        <f t="shared" si="47"/>
        <v>22952.549030341619</v>
      </c>
      <c r="BG19" s="1427"/>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2">
        <f t="shared" si="22"/>
        <v>23148.853399404081</v>
      </c>
      <c r="AC20" s="1102"/>
      <c r="AD20" s="1101">
        <f t="shared" si="23"/>
        <v>19193.274593841717</v>
      </c>
      <c r="AE20" s="1102">
        <f t="shared" si="24"/>
        <v>456.79851130612758</v>
      </c>
      <c r="AF20" s="1102">
        <f t="shared" si="25"/>
        <v>289.10958635758124</v>
      </c>
      <c r="AG20" s="1102">
        <f t="shared" si="26"/>
        <v>3209.670707898656</v>
      </c>
      <c r="AH20" s="1142">
        <f t="shared" si="27"/>
        <v>23148.853399404081</v>
      </c>
      <c r="AI20" s="1422"/>
      <c r="AJ20" s="1101">
        <f t="shared" si="28"/>
        <v>19193.274593841717</v>
      </c>
      <c r="AK20" s="1102">
        <f t="shared" si="29"/>
        <v>456.79851130612758</v>
      </c>
      <c r="AL20" s="1102">
        <f t="shared" si="30"/>
        <v>289.10958635758124</v>
      </c>
      <c r="AM20" s="1102">
        <f t="shared" si="31"/>
        <v>3209.670707898656</v>
      </c>
      <c r="AN20" s="1142">
        <f t="shared" si="32"/>
        <v>23148.853399404081</v>
      </c>
      <c r="AO20" s="1419"/>
      <c r="AP20" s="1101">
        <f t="shared" si="33"/>
        <v>19193.274593841717</v>
      </c>
      <c r="AQ20" s="1102">
        <f t="shared" si="34"/>
        <v>456.79851130612758</v>
      </c>
      <c r="AR20" s="1102">
        <f t="shared" si="35"/>
        <v>289.10958635758124</v>
      </c>
      <c r="AS20" s="1102">
        <f t="shared" si="36"/>
        <v>3209.670707898656</v>
      </c>
      <c r="AT20" s="1142">
        <f t="shared" si="37"/>
        <v>23148.853399404081</v>
      </c>
      <c r="AU20" s="1414"/>
      <c r="AV20" s="1101">
        <f t="shared" si="38"/>
        <v>19193.274593841717</v>
      </c>
      <c r="AW20" s="1102">
        <f t="shared" si="39"/>
        <v>456.79851130612758</v>
      </c>
      <c r="AX20" s="1102">
        <f t="shared" si="40"/>
        <v>289.10958635758124</v>
      </c>
      <c r="AY20" s="1102">
        <f t="shared" si="41"/>
        <v>3209.670707898656</v>
      </c>
      <c r="AZ20" s="1142">
        <f t="shared" si="42"/>
        <v>23148.853399404081</v>
      </c>
      <c r="BA20" s="1424"/>
      <c r="BB20" s="1101">
        <f t="shared" si="43"/>
        <v>19193.274593841717</v>
      </c>
      <c r="BC20" s="1102">
        <f t="shared" si="44"/>
        <v>456.79851130612758</v>
      </c>
      <c r="BD20" s="1102">
        <f t="shared" si="45"/>
        <v>289.10958635758124</v>
      </c>
      <c r="BE20" s="1102">
        <f t="shared" si="46"/>
        <v>3209.670707898656</v>
      </c>
      <c r="BF20" s="1142">
        <f t="shared" si="47"/>
        <v>23148.853399404081</v>
      </c>
      <c r="BG20" s="1427"/>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2">
        <f t="shared" si="22"/>
        <v>23292.353625404801</v>
      </c>
      <c r="AC21" s="1102"/>
      <c r="AD21" s="1101">
        <f t="shared" si="23"/>
        <v>19170.808594730344</v>
      </c>
      <c r="AE21" s="1102">
        <f t="shared" si="24"/>
        <v>487.61891597202572</v>
      </c>
      <c r="AF21" s="1102">
        <f t="shared" si="25"/>
        <v>301.9056170360725</v>
      </c>
      <c r="AG21" s="1102">
        <f t="shared" si="26"/>
        <v>3332.0204976663595</v>
      </c>
      <c r="AH21" s="1142">
        <f t="shared" si="27"/>
        <v>23292.353625404801</v>
      </c>
      <c r="AI21" s="1422"/>
      <c r="AJ21" s="1101">
        <f t="shared" si="28"/>
        <v>19170.808594730344</v>
      </c>
      <c r="AK21" s="1102">
        <f t="shared" si="29"/>
        <v>487.61891597202572</v>
      </c>
      <c r="AL21" s="1102">
        <f t="shared" si="30"/>
        <v>301.9056170360725</v>
      </c>
      <c r="AM21" s="1102">
        <f t="shared" si="31"/>
        <v>3332.0204976663595</v>
      </c>
      <c r="AN21" s="1142">
        <f t="shared" si="32"/>
        <v>23292.353625404801</v>
      </c>
      <c r="AO21" s="1419"/>
      <c r="AP21" s="1101">
        <f t="shared" si="33"/>
        <v>19170.808594730344</v>
      </c>
      <c r="AQ21" s="1102">
        <f t="shared" si="34"/>
        <v>487.61891597202572</v>
      </c>
      <c r="AR21" s="1102">
        <f t="shared" si="35"/>
        <v>301.9056170360725</v>
      </c>
      <c r="AS21" s="1102">
        <f t="shared" si="36"/>
        <v>3332.0204976663595</v>
      </c>
      <c r="AT21" s="1142">
        <f t="shared" si="37"/>
        <v>23292.353625404801</v>
      </c>
      <c r="AU21" s="1414"/>
      <c r="AV21" s="1101">
        <f t="shared" si="38"/>
        <v>19170.808594730344</v>
      </c>
      <c r="AW21" s="1102">
        <f t="shared" si="39"/>
        <v>487.61891597202572</v>
      </c>
      <c r="AX21" s="1102">
        <f t="shared" si="40"/>
        <v>301.9056170360725</v>
      </c>
      <c r="AY21" s="1102">
        <f t="shared" si="41"/>
        <v>3332.0204976663595</v>
      </c>
      <c r="AZ21" s="1142">
        <f t="shared" si="42"/>
        <v>23292.353625404801</v>
      </c>
      <c r="BA21" s="1424"/>
      <c r="BB21" s="1101">
        <f t="shared" si="43"/>
        <v>19170.808594730344</v>
      </c>
      <c r="BC21" s="1102">
        <f t="shared" si="44"/>
        <v>487.61891597202572</v>
      </c>
      <c r="BD21" s="1102">
        <f t="shared" si="45"/>
        <v>301.9056170360725</v>
      </c>
      <c r="BE21" s="1102">
        <f t="shared" si="46"/>
        <v>3332.0204976663595</v>
      </c>
      <c r="BF21" s="1142">
        <f t="shared" si="47"/>
        <v>23292.353625404801</v>
      </c>
      <c r="BG21" s="1427"/>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2">
        <f t="shared" si="22"/>
        <v>23263.692699090843</v>
      </c>
      <c r="AC22" s="1102"/>
      <c r="AD22" s="1101">
        <f t="shared" si="23"/>
        <v>19051.284639763846</v>
      </c>
      <c r="AE22" s="1102">
        <f t="shared" si="24"/>
        <v>538.64744356540064</v>
      </c>
      <c r="AF22" s="1102">
        <f t="shared" si="25"/>
        <v>306.05640080876935</v>
      </c>
      <c r="AG22" s="1102">
        <f t="shared" si="26"/>
        <v>3367.704214952827</v>
      </c>
      <c r="AH22" s="1142">
        <f t="shared" si="27"/>
        <v>23263.692699090843</v>
      </c>
      <c r="AI22" s="1422"/>
      <c r="AJ22" s="1101">
        <f t="shared" si="28"/>
        <v>19051.284639763846</v>
      </c>
      <c r="AK22" s="1102">
        <f t="shared" si="29"/>
        <v>538.64744356540064</v>
      </c>
      <c r="AL22" s="1102">
        <f t="shared" si="30"/>
        <v>306.05640080876935</v>
      </c>
      <c r="AM22" s="1102">
        <f t="shared" si="31"/>
        <v>3367.704214952827</v>
      </c>
      <c r="AN22" s="1142">
        <f t="shared" si="32"/>
        <v>23263.692699090843</v>
      </c>
      <c r="AO22" s="1419"/>
      <c r="AP22" s="1101">
        <f t="shared" si="33"/>
        <v>19051.284639763846</v>
      </c>
      <c r="AQ22" s="1102">
        <f t="shared" si="34"/>
        <v>538.64744356540064</v>
      </c>
      <c r="AR22" s="1102">
        <f t="shared" si="35"/>
        <v>306.05640080876935</v>
      </c>
      <c r="AS22" s="1102">
        <f t="shared" si="36"/>
        <v>3367.704214952827</v>
      </c>
      <c r="AT22" s="1142">
        <f t="shared" si="37"/>
        <v>23263.692699090843</v>
      </c>
      <c r="AU22" s="1414"/>
      <c r="AV22" s="1101">
        <f t="shared" si="38"/>
        <v>19051.284639763846</v>
      </c>
      <c r="AW22" s="1102">
        <f t="shared" si="39"/>
        <v>538.64744356540064</v>
      </c>
      <c r="AX22" s="1102">
        <f t="shared" si="40"/>
        <v>306.05640080876935</v>
      </c>
      <c r="AY22" s="1102">
        <f t="shared" si="41"/>
        <v>3367.704214952827</v>
      </c>
      <c r="AZ22" s="1142">
        <f t="shared" si="42"/>
        <v>23263.692699090843</v>
      </c>
      <c r="BA22" s="1424"/>
      <c r="BB22" s="1101">
        <f t="shared" si="43"/>
        <v>19051.284639763846</v>
      </c>
      <c r="BC22" s="1102">
        <f t="shared" si="44"/>
        <v>538.64744356540064</v>
      </c>
      <c r="BD22" s="1102">
        <f t="shared" si="45"/>
        <v>306.05640080876935</v>
      </c>
      <c r="BE22" s="1102">
        <f t="shared" si="46"/>
        <v>3367.704214952827</v>
      </c>
      <c r="BF22" s="1142">
        <f t="shared" si="47"/>
        <v>23263.692699090843</v>
      </c>
      <c r="BG22" s="1427"/>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2">
        <f t="shared" si="22"/>
        <v>23137.15668394215</v>
      </c>
      <c r="AC23" s="1102"/>
      <c r="AD23" s="1101">
        <f t="shared" si="23"/>
        <v>18819.509349126125</v>
      </c>
      <c r="AE23" s="1102">
        <f t="shared" si="24"/>
        <v>589.15519434167379</v>
      </c>
      <c r="AF23" s="1102">
        <f t="shared" si="25"/>
        <v>310.6538874859516</v>
      </c>
      <c r="AG23" s="1102">
        <f t="shared" si="26"/>
        <v>3417.8382529883984</v>
      </c>
      <c r="AH23" s="1142">
        <f t="shared" si="27"/>
        <v>23137.15668394215</v>
      </c>
      <c r="AI23" s="1422"/>
      <c r="AJ23" s="1101">
        <f t="shared" si="28"/>
        <v>18819.509349126125</v>
      </c>
      <c r="AK23" s="1102">
        <f t="shared" si="29"/>
        <v>589.15519434167379</v>
      </c>
      <c r="AL23" s="1102">
        <f t="shared" si="30"/>
        <v>310.6538874859516</v>
      </c>
      <c r="AM23" s="1102">
        <f t="shared" si="31"/>
        <v>3417.8382529883984</v>
      </c>
      <c r="AN23" s="1142">
        <f t="shared" si="32"/>
        <v>23137.15668394215</v>
      </c>
      <c r="AO23" s="1419"/>
      <c r="AP23" s="1101">
        <f t="shared" si="33"/>
        <v>18819.509349126125</v>
      </c>
      <c r="AQ23" s="1102">
        <f t="shared" si="34"/>
        <v>589.15519434167379</v>
      </c>
      <c r="AR23" s="1102">
        <f t="shared" si="35"/>
        <v>310.6538874859516</v>
      </c>
      <c r="AS23" s="1102">
        <f t="shared" si="36"/>
        <v>3417.8382529883984</v>
      </c>
      <c r="AT23" s="1142">
        <f t="shared" si="37"/>
        <v>23137.15668394215</v>
      </c>
      <c r="AU23" s="1414"/>
      <c r="AV23" s="1101">
        <f t="shared" si="38"/>
        <v>18819.509349126125</v>
      </c>
      <c r="AW23" s="1102">
        <f t="shared" si="39"/>
        <v>589.15519434167379</v>
      </c>
      <c r="AX23" s="1102">
        <f t="shared" si="40"/>
        <v>310.6538874859516</v>
      </c>
      <c r="AY23" s="1102">
        <f t="shared" si="41"/>
        <v>3417.8382529883984</v>
      </c>
      <c r="AZ23" s="1142">
        <f t="shared" si="42"/>
        <v>23137.15668394215</v>
      </c>
      <c r="BA23" s="1424"/>
      <c r="BB23" s="1101">
        <f t="shared" si="43"/>
        <v>18819.509349126125</v>
      </c>
      <c r="BC23" s="1102">
        <f t="shared" si="44"/>
        <v>589.15519434167379</v>
      </c>
      <c r="BD23" s="1102">
        <f t="shared" si="45"/>
        <v>310.6538874859516</v>
      </c>
      <c r="BE23" s="1102">
        <f t="shared" si="46"/>
        <v>3417.8382529883984</v>
      </c>
      <c r="BF23" s="1142">
        <f t="shared" si="47"/>
        <v>23137.15668394215</v>
      </c>
      <c r="BG23" s="1427"/>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2">
        <f t="shared" si="22"/>
        <v>22976.09238745445</v>
      </c>
      <c r="AC24" s="1102"/>
      <c r="AD24" s="1101">
        <f t="shared" si="23"/>
        <v>18556.493934212805</v>
      </c>
      <c r="AE24" s="1102">
        <f t="shared" si="24"/>
        <v>635.23910612615396</v>
      </c>
      <c r="AF24" s="1102">
        <f t="shared" si="25"/>
        <v>314.51894299876597</v>
      </c>
      <c r="AG24" s="1102">
        <f t="shared" si="26"/>
        <v>3469.8404041167237</v>
      </c>
      <c r="AH24" s="1142">
        <f t="shared" si="27"/>
        <v>22976.09238745445</v>
      </c>
      <c r="AI24" s="1422"/>
      <c r="AJ24" s="1101">
        <f t="shared" si="28"/>
        <v>18556.493934212805</v>
      </c>
      <c r="AK24" s="1102">
        <f t="shared" si="29"/>
        <v>635.23910612615396</v>
      </c>
      <c r="AL24" s="1102">
        <f t="shared" si="30"/>
        <v>314.51894299876597</v>
      </c>
      <c r="AM24" s="1102">
        <f t="shared" si="31"/>
        <v>3469.8404041167237</v>
      </c>
      <c r="AN24" s="1142">
        <f t="shared" si="32"/>
        <v>22976.09238745445</v>
      </c>
      <c r="AO24" s="1419"/>
      <c r="AP24" s="1101">
        <f t="shared" si="33"/>
        <v>18556.493934212805</v>
      </c>
      <c r="AQ24" s="1102">
        <f t="shared" si="34"/>
        <v>635.23910612615396</v>
      </c>
      <c r="AR24" s="1102">
        <f t="shared" si="35"/>
        <v>314.51894299876597</v>
      </c>
      <c r="AS24" s="1102">
        <f t="shared" si="36"/>
        <v>3469.8404041167237</v>
      </c>
      <c r="AT24" s="1142">
        <f t="shared" si="37"/>
        <v>22976.09238745445</v>
      </c>
      <c r="AU24" s="1414"/>
      <c r="AV24" s="1101">
        <f t="shared" si="38"/>
        <v>18556.493934212805</v>
      </c>
      <c r="AW24" s="1102">
        <f t="shared" si="39"/>
        <v>635.23910612615396</v>
      </c>
      <c r="AX24" s="1102">
        <f t="shared" si="40"/>
        <v>314.51894299876597</v>
      </c>
      <c r="AY24" s="1102">
        <f t="shared" si="41"/>
        <v>3469.8404041167237</v>
      </c>
      <c r="AZ24" s="1142">
        <f t="shared" si="42"/>
        <v>22976.09238745445</v>
      </c>
      <c r="BA24" s="1424"/>
      <c r="BB24" s="1101">
        <f t="shared" si="43"/>
        <v>18556.493934212805</v>
      </c>
      <c r="BC24" s="1102">
        <f t="shared" si="44"/>
        <v>635.23910612615396</v>
      </c>
      <c r="BD24" s="1102">
        <f t="shared" si="45"/>
        <v>314.51894299876597</v>
      </c>
      <c r="BE24" s="1102">
        <f t="shared" si="46"/>
        <v>3469.8404041167237</v>
      </c>
      <c r="BF24" s="1142">
        <f t="shared" si="47"/>
        <v>22976.09238745445</v>
      </c>
      <c r="BG24" s="1427"/>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2">
        <f t="shared" si="22"/>
        <v>22782.75487525756</v>
      </c>
      <c r="AC25" s="1102"/>
      <c r="AD25" s="1101">
        <f t="shared" si="23"/>
        <v>18263.974243063207</v>
      </c>
      <c r="AE25" s="1102">
        <f t="shared" si="24"/>
        <v>677.38176547650767</v>
      </c>
      <c r="AF25" s="1102">
        <f t="shared" si="25"/>
        <v>317.61605794264813</v>
      </c>
      <c r="AG25" s="1102">
        <f t="shared" si="26"/>
        <v>3523.7828087751991</v>
      </c>
      <c r="AH25" s="1142">
        <f t="shared" si="27"/>
        <v>22782.75487525756</v>
      </c>
      <c r="AI25" s="1422"/>
      <c r="AJ25" s="1101">
        <f t="shared" si="28"/>
        <v>18263.974243063207</v>
      </c>
      <c r="AK25" s="1102">
        <f t="shared" si="29"/>
        <v>677.38176547650767</v>
      </c>
      <c r="AL25" s="1102">
        <f t="shared" si="30"/>
        <v>317.61605794264813</v>
      </c>
      <c r="AM25" s="1102">
        <f t="shared" si="31"/>
        <v>3523.7828087751991</v>
      </c>
      <c r="AN25" s="1142">
        <f t="shared" si="32"/>
        <v>22782.75487525756</v>
      </c>
      <c r="AO25" s="1419"/>
      <c r="AP25" s="1101">
        <f t="shared" si="33"/>
        <v>18263.974243063207</v>
      </c>
      <c r="AQ25" s="1102">
        <f t="shared" si="34"/>
        <v>677.38176547650767</v>
      </c>
      <c r="AR25" s="1102">
        <f t="shared" si="35"/>
        <v>317.61605794264813</v>
      </c>
      <c r="AS25" s="1102">
        <f t="shared" si="36"/>
        <v>3523.7828087751991</v>
      </c>
      <c r="AT25" s="1142">
        <f t="shared" si="37"/>
        <v>22782.75487525756</v>
      </c>
      <c r="AU25" s="1414"/>
      <c r="AV25" s="1101">
        <f t="shared" si="38"/>
        <v>18263.974243063207</v>
      </c>
      <c r="AW25" s="1102">
        <f t="shared" si="39"/>
        <v>677.38176547650767</v>
      </c>
      <c r="AX25" s="1102">
        <f t="shared" si="40"/>
        <v>317.61605794264813</v>
      </c>
      <c r="AY25" s="1102">
        <f t="shared" si="41"/>
        <v>3523.7828087751991</v>
      </c>
      <c r="AZ25" s="1142">
        <f t="shared" si="42"/>
        <v>22782.75487525756</v>
      </c>
      <c r="BA25" s="1424"/>
      <c r="BB25" s="1101">
        <f t="shared" si="43"/>
        <v>18263.974243063207</v>
      </c>
      <c r="BC25" s="1102">
        <f t="shared" si="44"/>
        <v>677.38176547650767</v>
      </c>
      <c r="BD25" s="1102">
        <f t="shared" si="45"/>
        <v>317.61605794264813</v>
      </c>
      <c r="BE25" s="1102">
        <f t="shared" si="46"/>
        <v>3523.7828087751991</v>
      </c>
      <c r="BF25" s="1142">
        <f t="shared" si="47"/>
        <v>22782.75487525756</v>
      </c>
      <c r="BG25" s="1427"/>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2">
        <f t="shared" si="22"/>
        <v>22559.079123575495</v>
      </c>
      <c r="AC26" s="1102"/>
      <c r="AD26" s="1101">
        <f t="shared" si="23"/>
        <v>17944.000999950382</v>
      </c>
      <c r="AE26" s="1102">
        <f t="shared" si="24"/>
        <v>715.43001879258736</v>
      </c>
      <c r="AF26" s="1102">
        <f t="shared" si="25"/>
        <v>319.90690368827416</v>
      </c>
      <c r="AG26" s="1102">
        <f t="shared" si="26"/>
        <v>3579.7412011442502</v>
      </c>
      <c r="AH26" s="1142">
        <f t="shared" si="27"/>
        <v>22559.079123575495</v>
      </c>
      <c r="AI26" s="1422"/>
      <c r="AJ26" s="1101">
        <f t="shared" si="28"/>
        <v>17944.000999950382</v>
      </c>
      <c r="AK26" s="1102">
        <f t="shared" si="29"/>
        <v>715.43001879258736</v>
      </c>
      <c r="AL26" s="1102">
        <f t="shared" si="30"/>
        <v>319.90690368827416</v>
      </c>
      <c r="AM26" s="1102">
        <f t="shared" si="31"/>
        <v>3579.7412011442502</v>
      </c>
      <c r="AN26" s="1142">
        <f t="shared" si="32"/>
        <v>22559.079123575495</v>
      </c>
      <c r="AO26" s="1419"/>
      <c r="AP26" s="1101">
        <f t="shared" si="33"/>
        <v>17944.000999950382</v>
      </c>
      <c r="AQ26" s="1102">
        <f t="shared" si="34"/>
        <v>715.43001879258736</v>
      </c>
      <c r="AR26" s="1102">
        <f t="shared" si="35"/>
        <v>319.90690368827416</v>
      </c>
      <c r="AS26" s="1102">
        <f t="shared" si="36"/>
        <v>3579.7412011442502</v>
      </c>
      <c r="AT26" s="1142">
        <f t="shared" si="37"/>
        <v>22559.079123575495</v>
      </c>
      <c r="AU26" s="1415"/>
      <c r="AV26" s="1101">
        <f t="shared" si="38"/>
        <v>17944.000999950382</v>
      </c>
      <c r="AW26" s="1102">
        <f t="shared" si="39"/>
        <v>715.43001879258736</v>
      </c>
      <c r="AX26" s="1102">
        <f t="shared" si="40"/>
        <v>319.90690368827416</v>
      </c>
      <c r="AY26" s="1102">
        <f t="shared" si="41"/>
        <v>3579.7412011442502</v>
      </c>
      <c r="AZ26" s="1142">
        <f t="shared" si="42"/>
        <v>22559.079123575495</v>
      </c>
      <c r="BA26" s="1424"/>
      <c r="BB26" s="1101">
        <f t="shared" si="43"/>
        <v>17944.000999950382</v>
      </c>
      <c r="BC26" s="1102">
        <f t="shared" si="44"/>
        <v>715.43001879258736</v>
      </c>
      <c r="BD26" s="1102">
        <f t="shared" si="45"/>
        <v>319.90690368827416</v>
      </c>
      <c r="BE26" s="1102">
        <f t="shared" si="46"/>
        <v>3579.7412011442502</v>
      </c>
      <c r="BF26" s="1142">
        <f t="shared" si="47"/>
        <v>22559.079123575495</v>
      </c>
      <c r="BG26" s="1427"/>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2">
        <f t="shared" si="22"/>
        <v>22309.09601828958</v>
      </c>
      <c r="AC27" s="1102"/>
      <c r="AD27" s="1101">
        <f>Q27</f>
        <v>17598.553672728915</v>
      </c>
      <c r="AE27" s="1102">
        <f t="shared" si="24"/>
        <v>751.39711693352467</v>
      </c>
      <c r="AF27" s="1102">
        <f t="shared" si="25"/>
        <v>321.35014174830235</v>
      </c>
      <c r="AG27" s="1102">
        <f t="shared" si="26"/>
        <v>3637.7950868788384</v>
      </c>
      <c r="AH27" s="1142">
        <f>SUM(AD27:AG27)</f>
        <v>22309.09601828958</v>
      </c>
      <c r="AI27" s="1422"/>
      <c r="AJ27" s="1101">
        <f t="shared" si="28"/>
        <v>17598.553672728915</v>
      </c>
      <c r="AK27" s="1102">
        <f t="shared" si="29"/>
        <v>751.39711693352467</v>
      </c>
      <c r="AL27" s="1102">
        <f t="shared" si="30"/>
        <v>321.35014174830235</v>
      </c>
      <c r="AM27" s="1102">
        <f t="shared" si="31"/>
        <v>3637.7950868788384</v>
      </c>
      <c r="AN27" s="1142">
        <f t="shared" si="32"/>
        <v>22309.09601828958</v>
      </c>
      <c r="AO27" s="1419"/>
      <c r="AP27" s="1101">
        <f t="shared" ref="AP27" si="54">Q27</f>
        <v>17598.553672728915</v>
      </c>
      <c r="AQ27" s="1102">
        <f t="shared" ref="AQ27" si="55">R27</f>
        <v>751.39711693352467</v>
      </c>
      <c r="AR27" s="1102">
        <f t="shared" ref="AR27" si="56">S27</f>
        <v>321.35014174830235</v>
      </c>
      <c r="AS27" s="1102">
        <f t="shared" ref="AS27" si="57">T27</f>
        <v>3637.7950868788384</v>
      </c>
      <c r="AT27" s="1142">
        <f t="shared" si="37"/>
        <v>22309.09601828958</v>
      </c>
      <c r="AU27" s="1415"/>
      <c r="AV27" s="1101">
        <f t="shared" si="38"/>
        <v>17598.553672728915</v>
      </c>
      <c r="AW27" s="1102">
        <f t="shared" si="39"/>
        <v>751.39711693352467</v>
      </c>
      <c r="AX27" s="1102">
        <f t="shared" si="40"/>
        <v>321.35014174830235</v>
      </c>
      <c r="AY27" s="1102">
        <f t="shared" si="41"/>
        <v>3637.7950868788384</v>
      </c>
      <c r="AZ27" s="1142">
        <f t="shared" si="42"/>
        <v>22309.09601828958</v>
      </c>
      <c r="BA27" s="1424"/>
      <c r="BB27" s="1101">
        <f t="shared" si="43"/>
        <v>17598.553672728915</v>
      </c>
      <c r="BC27" s="1102">
        <f t="shared" si="44"/>
        <v>751.39711693352467</v>
      </c>
      <c r="BD27" s="1102">
        <f t="shared" si="45"/>
        <v>321.35014174830235</v>
      </c>
      <c r="BE27" s="1102">
        <f t="shared" si="46"/>
        <v>3637.7950868788384</v>
      </c>
      <c r="BF27" s="1142">
        <f t="shared" si="47"/>
        <v>22309.09601828958</v>
      </c>
      <c r="BG27" s="1427"/>
      <c r="BH27" s="596">
        <f t="shared" si="48"/>
        <v>2017</v>
      </c>
      <c r="BI27" s="1102">
        <f>'Recycling - Case 1'!BV97</f>
        <v>111.48215319455257</v>
      </c>
      <c r="BJ27" s="417">
        <f>'Recycling - Case 1'!BW97</f>
        <v>0.28613022309776337</v>
      </c>
      <c r="BK27" s="1142">
        <f>'Recycling - Case 1'!BX97</f>
        <v>49.995050999999997</v>
      </c>
      <c r="BL27" s="1101">
        <f>'Recycling - Case 1'!BY97</f>
        <v>111.48215319455257</v>
      </c>
      <c r="BM27" s="576">
        <f>'Recycling - Case 1'!BZ97</f>
        <v>0.28613022309776337</v>
      </c>
      <c r="BN27" s="1142">
        <f>'Recycling - Case 1'!CA97</f>
        <v>49.995050999999997</v>
      </c>
      <c r="BO27" s="1102">
        <f>'Recycling - Case 2'!BV97</f>
        <v>111.48215319455257</v>
      </c>
      <c r="BP27" s="417">
        <f>'Recycling - Case 2'!BW97</f>
        <v>0.28613022309776337</v>
      </c>
      <c r="BQ27" s="1142">
        <f>'Recycling - Case 2'!BX97</f>
        <v>49.995050999999997</v>
      </c>
      <c r="BR27" s="1101">
        <f>'Recycling - Case 2'!BY97</f>
        <v>111.48215319455257</v>
      </c>
      <c r="BS27" s="417">
        <f>'Recycling - Case 2'!BZ97</f>
        <v>0.28613022309776337</v>
      </c>
      <c r="BT27" s="1142">
        <f>'Recycling - Case 2'!CA97</f>
        <v>49.995050999999997</v>
      </c>
      <c r="BU27" s="1102">
        <f>'Recycling - Case 3'!BV97</f>
        <v>111.48215319455257</v>
      </c>
      <c r="BV27" s="417">
        <f>'Recycling - Case 3'!BW97</f>
        <v>0.28613022309776337</v>
      </c>
      <c r="BW27" s="1142">
        <f>'Recycling - Case 3'!BX97</f>
        <v>49.995050999999997</v>
      </c>
      <c r="BX27" s="1101">
        <f>'Recycling - Case 3'!BY97</f>
        <v>111.48215319455257</v>
      </c>
      <c r="BY27" s="417">
        <f>'Recycling - Case 3'!BZ97</f>
        <v>0.28613022309776337</v>
      </c>
      <c r="BZ27" s="1142">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2">
        <f t="shared" si="22"/>
        <v>22086.598537758771</v>
      </c>
      <c r="AC28" s="1423"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2">
        <f t="shared" ref="AH28:AH60" si="60">SUM(AD28:AG28)</f>
        <v>22086.598537758771</v>
      </c>
      <c r="AI28" s="1423"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2">
        <f t="shared" si="61"/>
        <v>22136.249719524658</v>
      </c>
      <c r="AO28" s="1416"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2">
        <f t="shared" si="37"/>
        <v>22136.249719524658</v>
      </c>
      <c r="AU28" s="1423"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2">
        <f t="shared" ref="AZ28:AZ60" si="67">U165</f>
        <v>22073.974126717581</v>
      </c>
      <c r="BA28" s="1423"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2">
        <f t="shared" si="47"/>
        <v>22073.974126717581</v>
      </c>
      <c r="BG28" s="1423" t="str">
        <f>IF(OR('Recycling - Case 3'!AC98="No",'Recycling - Case 3'!T178="No"), "No", "Yes")</f>
        <v>Yes</v>
      </c>
      <c r="BH28" s="596">
        <f t="shared" si="48"/>
        <v>2018</v>
      </c>
      <c r="BI28" s="1102">
        <f>'Recycling - Case 1'!BV98</f>
        <v>108.3176056127139</v>
      </c>
      <c r="BJ28" s="417">
        <f>'Recycling - Case 1'!BW98</f>
        <v>0.30342298638676968</v>
      </c>
      <c r="BK28" s="1142">
        <f>'Recycling - Case 1'!BX98</f>
        <v>50.359792847133136</v>
      </c>
      <c r="BL28" s="1101">
        <f>'Recycling - Case 1'!BY98</f>
        <v>108.3176056127139</v>
      </c>
      <c r="BM28" s="576">
        <f>'Recycling - Case 1'!BZ98</f>
        <v>0.30342298638676968</v>
      </c>
      <c r="BN28" s="1142">
        <f>'Recycling - Case 1'!CA98</f>
        <v>50.359792847133136</v>
      </c>
      <c r="BO28" s="1102">
        <f>'Recycling - Case 2'!BV98</f>
        <v>108.79675618524169</v>
      </c>
      <c r="BP28" s="417">
        <f>'Recycling - Case 2'!BW98</f>
        <v>0.31239939440446801</v>
      </c>
      <c r="BQ28" s="1142">
        <f>'Recycling - Case 2'!BX98</f>
        <v>50.359792847133136</v>
      </c>
      <c r="BR28" s="1101">
        <f>'Recycling - Case 2'!BY98</f>
        <v>108.79675618524169</v>
      </c>
      <c r="BS28" s="417">
        <f>'Recycling - Case 2'!BZ98</f>
        <v>0.31239939440446801</v>
      </c>
      <c r="BT28" s="1142">
        <f>'Recycling - Case 2'!CA98</f>
        <v>50.359792847133136</v>
      </c>
      <c r="BU28" s="1102">
        <f>'Recycling - Case 3'!BV98</f>
        <v>108.79675618524169</v>
      </c>
      <c r="BV28" s="417">
        <f>'Recycling - Case 3'!BW98</f>
        <v>0.31239939440446801</v>
      </c>
      <c r="BW28" s="1142">
        <f>'Recycling - Case 3'!BX98</f>
        <v>50.359792847133136</v>
      </c>
      <c r="BX28" s="1101">
        <f>'Recycling - Case 3'!BY98</f>
        <v>108.79675618524169</v>
      </c>
      <c r="BY28" s="417">
        <f>'Recycling - Case 3'!BZ98</f>
        <v>0.31239939440446801</v>
      </c>
      <c r="BZ28" s="1142">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28">
        <f>'Input data'!A118</f>
        <v>2018</v>
      </c>
      <c r="B29" s="1428"/>
      <c r="C29" s="1429">
        <f>'4A SWD Case 1'!BG88</f>
        <v>820.5169947820342</v>
      </c>
      <c r="D29" s="515">
        <f>'4B Biological treatment '!T82</f>
        <v>0.32115863087580998</v>
      </c>
      <c r="E29" s="1430">
        <f>'4B Biological treatment '!U82</f>
        <v>20.384176057159792</v>
      </c>
      <c r="F29" s="1430">
        <f>'4B Biological treatment '!W82</f>
        <v>1.2230505634295874</v>
      </c>
      <c r="G29" s="515">
        <f>'4C2 Open-burning '!R89</f>
        <v>32.890504306921038</v>
      </c>
      <c r="H29" s="515">
        <f>'4C2 Open-burning '!Z89</f>
        <v>11.066647744235141</v>
      </c>
      <c r="I29" s="515">
        <f>'4C2 Open-burning '!AH89</f>
        <v>0.15406641502389429</v>
      </c>
      <c r="J29" s="1431">
        <f>'4D Wastewater treatment and dis'!AV126</f>
        <v>134.80821026422416</v>
      </c>
      <c r="K29" s="1432">
        <f>'4D Wastewater treatment and dis'!AW126</f>
        <v>2.8960026873618072</v>
      </c>
      <c r="L29" s="1433">
        <f t="shared" ref="L29:L61" si="69">C29*$B$3</f>
        <v>17230.856890422718</v>
      </c>
      <c r="M29" s="1432">
        <f t="shared" ref="M29:M61" si="70">D29*$B$3</f>
        <v>6.7443312483920099</v>
      </c>
      <c r="N29" s="1433">
        <f t="shared" ref="N29:N61" si="71">E29*$B$3+F29*$C$3</f>
        <v>807.21337186352775</v>
      </c>
      <c r="O29" s="1429">
        <f t="shared" ref="O29:O61" si="72">G29+H29*$B$3+I29*$C$3</f>
        <v>313.05069559326625</v>
      </c>
      <c r="P29" s="1433">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965.18873138103606</v>
      </c>
      <c r="Z29" s="1102">
        <f t="shared" ref="Z29:Z60" si="82">S30</f>
        <v>304.9221239283998</v>
      </c>
      <c r="AA29" s="1102">
        <f t="shared" ref="AA29:AA60" si="83">T30</f>
        <v>3821.6612855587077</v>
      </c>
      <c r="AB29" s="1142">
        <f t="shared" si="22"/>
        <v>21925.781459267029</v>
      </c>
      <c r="AC29" s="1423" t="str">
        <f>IF(OR('Recycling - Case 1'!AC99="No",'Recycling - Case 1'!T139="No"), "No", "Yes")</f>
        <v>Yes</v>
      </c>
      <c r="AD29" s="1101">
        <f t="shared" ref="AD29:AD60" si="84">Q64</f>
        <v>16834.009318398883</v>
      </c>
      <c r="AE29" s="1102">
        <f t="shared" ref="AE29:AE60" si="85">R64</f>
        <v>965.18873138103606</v>
      </c>
      <c r="AF29" s="1102">
        <f t="shared" ref="AF29:AF60" si="86">S64</f>
        <v>304.9221239283998</v>
      </c>
      <c r="AG29" s="1102">
        <f t="shared" ref="AG29:AG60" si="87">T64</f>
        <v>3821.6612855587077</v>
      </c>
      <c r="AH29" s="1142">
        <f t="shared" si="60"/>
        <v>21925.781459267029</v>
      </c>
      <c r="AI29" s="1423" t="str">
        <f>IF(OR('Recycling - Case 1'!AI10="No",'Recycling - Case 1'!Z139="No"), "No", "Yes")</f>
        <v>Yes</v>
      </c>
      <c r="AJ29" s="1101">
        <f t="shared" ref="AJ29:AJ60" si="88">Q98</f>
        <v>16839.898969230198</v>
      </c>
      <c r="AK29" s="1102">
        <f t="shared" ref="AK29:AK60" si="89">R98</f>
        <v>965.18873138103606</v>
      </c>
      <c r="AL29" s="1102">
        <f t="shared" ref="AL29:AL60" si="90">S98</f>
        <v>307.81392004196488</v>
      </c>
      <c r="AM29" s="1102">
        <f t="shared" ref="AM29:AM60" si="91">T98</f>
        <v>3922.0560748079342</v>
      </c>
      <c r="AN29" s="1142">
        <f t="shared" ref="AN29:AN60" si="92">U98</f>
        <v>22034.957695461133</v>
      </c>
      <c r="AO29" s="1416" t="str">
        <f>IF(OR('Recycling - Case 2'!AC99="No",'Recycling - Case 2'!T139="No"), "No", "Yes")</f>
        <v>Yes</v>
      </c>
      <c r="AP29" s="1101">
        <f t="shared" ref="AP29:AP60" si="93">Q132</f>
        <v>16839.898969230198</v>
      </c>
      <c r="AQ29" s="1102">
        <f t="shared" ref="AQ29:AQ60" si="94">R132</f>
        <v>965.18873138103606</v>
      </c>
      <c r="AR29" s="1102">
        <f t="shared" ref="AR29:AR60" si="95">S132</f>
        <v>307.81392004196488</v>
      </c>
      <c r="AS29" s="1102">
        <f t="shared" ref="AS29:AS60" si="96">T132</f>
        <v>3922.0560748079342</v>
      </c>
      <c r="AT29" s="1142">
        <f t="shared" si="37"/>
        <v>22034.957695461133</v>
      </c>
      <c r="AU29" s="1423" t="str">
        <f>IF(OR('Recycling - Case 2'!AC99="No",'Recycling - Case 2'!T179="No"), "No", "Yes")</f>
        <v>Yes</v>
      </c>
      <c r="AV29" s="1101">
        <f t="shared" si="63"/>
        <v>16839.906548915631</v>
      </c>
      <c r="AW29" s="1102">
        <f t="shared" si="64"/>
        <v>816.26125781570522</v>
      </c>
      <c r="AX29" s="1102">
        <f t="shared" si="65"/>
        <v>307.81392004196488</v>
      </c>
      <c r="AY29" s="1102">
        <f t="shared" si="66"/>
        <v>3922.0560748079342</v>
      </c>
      <c r="AZ29" s="1142">
        <f t="shared" si="67"/>
        <v>21886.037801581235</v>
      </c>
      <c r="BA29" s="1423" t="str">
        <f>IF(OR('Recycling - Case 3'!AC99="No",'Recycling - Case 3'!T139="No"), "No", "Yes")</f>
        <v>Yes</v>
      </c>
      <c r="BB29" s="1101">
        <f t="shared" ref="BB29:BB60" si="97">Q200</f>
        <v>16839.906548915631</v>
      </c>
      <c r="BC29" s="1102">
        <f t="shared" ref="BC29:BC60" si="98">R200</f>
        <v>816.26125781570499</v>
      </c>
      <c r="BD29" s="1102">
        <f t="shared" ref="BD29:BD60" si="99">S200</f>
        <v>307.81392004196488</v>
      </c>
      <c r="BE29" s="1102">
        <f t="shared" ref="BE29:BE60" si="100">T200</f>
        <v>3922.0560748079342</v>
      </c>
      <c r="BF29" s="1142">
        <f t="shared" si="47"/>
        <v>21886.037801581235</v>
      </c>
      <c r="BG29" s="1423" t="str">
        <f>IF(OR('Recycling - Case 3'!AC99="No",'Recycling - Case 3'!T179="No"), "No", "Yes")</f>
        <v>Yes</v>
      </c>
      <c r="BH29" s="596">
        <f t="shared" si="48"/>
        <v>2019</v>
      </c>
      <c r="BI29" s="1102">
        <f>'Recycling - Case 1'!BV99</f>
        <v>111.94351134711049</v>
      </c>
      <c r="BJ29" s="417">
        <f>'Recycling - Case 1'!BW99</f>
        <v>0.36098197085719852</v>
      </c>
      <c r="BK29" s="1142">
        <f>'Recycling - Case 1'!BX99</f>
        <v>53.495734497914704</v>
      </c>
      <c r="BL29" s="1101">
        <f>'Recycling - Case 1'!BY99</f>
        <v>111.94351134711049</v>
      </c>
      <c r="BM29" s="576">
        <f>'Recycling - Case 1'!BZ99</f>
        <v>0.36098197085719852</v>
      </c>
      <c r="BN29" s="1142">
        <f>'Recycling - Case 1'!CA99</f>
        <v>53.495734497914704</v>
      </c>
      <c r="BO29" s="1102">
        <f>'Recycling - Case 2'!BV99</f>
        <v>113.60506162863425</v>
      </c>
      <c r="BP29" s="417">
        <f>'Recycling - Case 2'!BW99</f>
        <v>0.37652840962439843</v>
      </c>
      <c r="BQ29" s="1142">
        <f>'Recycling - Case 2'!BX99</f>
        <v>53.495734497914704</v>
      </c>
      <c r="BR29" s="1101">
        <f>'Recycling - Case 2'!BY99</f>
        <v>113.60506162863425</v>
      </c>
      <c r="BS29" s="417">
        <f>'Recycling - Case 2'!BZ99</f>
        <v>0.37652840962439843</v>
      </c>
      <c r="BT29" s="1142">
        <f>'Recycling - Case 2'!CA99</f>
        <v>53.495734497914704</v>
      </c>
      <c r="BU29" s="1102">
        <f>'Recycling - Case 3'!BV99</f>
        <v>113.60506162863425</v>
      </c>
      <c r="BV29" s="417">
        <f>'Recycling - Case 3'!BW99</f>
        <v>0.37652840962439843</v>
      </c>
      <c r="BW29" s="1142">
        <f>'Recycling - Case 3'!BX99</f>
        <v>53.495734497914704</v>
      </c>
      <c r="BX29" s="1101">
        <f>'Recycling - Case 3'!BY99</f>
        <v>113.60506162863425</v>
      </c>
      <c r="BY29" s="417">
        <f>'Recycling - Case 3'!BZ99</f>
        <v>0.37652840962439843</v>
      </c>
      <c r="BZ29" s="1142">
        <f>'Recycling - Case 3'!CA99</f>
        <v>53.495734497914704</v>
      </c>
      <c r="CA29" s="596">
        <v>2019</v>
      </c>
      <c r="CB29" s="649">
        <f>'Recycling - Case 1'!CB99</f>
        <v>4.7766344222348933E-2</v>
      </c>
      <c r="CC29" s="417">
        <f>'Recycling - Case 1'!CC99</f>
        <v>0.17319745173144474</v>
      </c>
      <c r="CD29" s="417">
        <f>'Recycling - Case 1'!CD99</f>
        <v>4.7766344222348933E-2</v>
      </c>
      <c r="CE29" s="525">
        <f>'Recycling - Case 1'!CE99</f>
        <v>0.17319745173144474</v>
      </c>
      <c r="CF29" s="649">
        <f>'Recycling - Case 2'!CB99</f>
        <v>4.2261345922522509E-2</v>
      </c>
      <c r="CG29" s="417">
        <f>'Recycling - Case 2'!CC99</f>
        <v>0.1589262017034847</v>
      </c>
      <c r="CH29" s="417">
        <f>'Recycling - Case 2'!CD99</f>
        <v>4.2261345922522509E-2</v>
      </c>
      <c r="CI29" s="525">
        <f>'Recycling - Case 2'!CE99</f>
        <v>0.1589262017034847</v>
      </c>
      <c r="CJ29" s="649">
        <f>'Recycling - Case 3'!CB99</f>
        <v>4.2261345922522509E-2</v>
      </c>
      <c r="CK29" s="417">
        <f>'Recycling - Case 3'!CC99</f>
        <v>0.1589262017034847</v>
      </c>
      <c r="CL29" s="417">
        <f>'Recycling - Case 3'!CD99</f>
        <v>4.2261345922522509E-2</v>
      </c>
      <c r="CM29" s="525">
        <f>'Recycling - Case 3'!CE99</f>
        <v>0.1589262017034847</v>
      </c>
    </row>
    <row r="30" spans="1:91">
      <c r="A30" s="4">
        <f>'Input data'!A119</f>
        <v>2019</v>
      </c>
      <c r="B30" s="4"/>
      <c r="C30" s="769">
        <f>'4A SWD Case 1'!BG89</f>
        <v>801.61949135232783</v>
      </c>
      <c r="D30" s="3">
        <f>'4B Biological treatment '!T83</f>
        <v>0.42961291719025785</v>
      </c>
      <c r="E30" s="1157">
        <f>'4B Biological treatment '!U83</f>
        <v>24.145627780809107</v>
      </c>
      <c r="F30" s="1157">
        <f>'4B Biological treatment '!W83</f>
        <v>1.4487376668485463</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9.0218712609954146</v>
      </c>
      <c r="N30" s="771">
        <f t="shared" si="71"/>
        <v>956.16686012004061</v>
      </c>
      <c r="O30" s="773">
        <f t="shared" si="72"/>
        <v>304.9221239283998</v>
      </c>
      <c r="P30" s="771">
        <f t="shared" si="73"/>
        <v>3821.6612855587077</v>
      </c>
      <c r="Q30" s="519">
        <f t="shared" si="74"/>
        <v>16834.009318398883</v>
      </c>
      <c r="R30" s="521">
        <f t="shared" si="75"/>
        <v>965.18873138103606</v>
      </c>
      <c r="S30" s="518">
        <f t="shared" si="76"/>
        <v>304.9221239283998</v>
      </c>
      <c r="T30" s="519">
        <f t="shared" si="77"/>
        <v>3821.6612855587077</v>
      </c>
      <c r="U30" s="519">
        <f t="shared" si="78"/>
        <v>21925.781459267029</v>
      </c>
      <c r="V30" s="3"/>
      <c r="W30" s="596">
        <f t="shared" si="79"/>
        <v>2020</v>
      </c>
      <c r="X30" s="1101">
        <f t="shared" si="80"/>
        <v>16399.992049402983</v>
      </c>
      <c r="Y30" s="1102">
        <f t="shared" si="81"/>
        <v>993.00163522646437</v>
      </c>
      <c r="Z30" s="1102">
        <f t="shared" si="82"/>
        <v>296.95916503445704</v>
      </c>
      <c r="AA30" s="1102">
        <f t="shared" si="83"/>
        <v>3916.619774427455</v>
      </c>
      <c r="AB30" s="1142">
        <f t="shared" si="22"/>
        <v>21606.572624091357</v>
      </c>
      <c r="AC30" s="1423" t="str">
        <f>IF(OR('Recycling - Case 1'!AC100="No",'Recycling - Case 1'!T140="No"), "No", "Yes")</f>
        <v>Yes</v>
      </c>
      <c r="AD30" s="1101">
        <f t="shared" si="84"/>
        <v>16399.992049402983</v>
      </c>
      <c r="AE30" s="1102">
        <f t="shared" si="85"/>
        <v>993.00163522646437</v>
      </c>
      <c r="AF30" s="1102">
        <f t="shared" si="86"/>
        <v>296.95916503445704</v>
      </c>
      <c r="AG30" s="1102">
        <f t="shared" si="87"/>
        <v>3916.619774427455</v>
      </c>
      <c r="AH30" s="1142">
        <f t="shared" si="60"/>
        <v>21606.572624091357</v>
      </c>
      <c r="AI30" s="1423" t="str">
        <f>IF(OR('Recycling - Case 1'!AI11="No",'Recycling - Case 1'!Z140="No"), "No", "Yes")</f>
        <v>Yes</v>
      </c>
      <c r="AJ30" s="1101">
        <f t="shared" si="88"/>
        <v>16422.85727496622</v>
      </c>
      <c r="AK30" s="1102">
        <f t="shared" si="89"/>
        <v>1048.4613635432911</v>
      </c>
      <c r="AL30" s="1102">
        <f t="shared" si="90"/>
        <v>299.52410113774715</v>
      </c>
      <c r="AM30" s="1102">
        <f t="shared" si="91"/>
        <v>4069.6472808319609</v>
      </c>
      <c r="AN30" s="1142">
        <f t="shared" si="92"/>
        <v>21840.490020479217</v>
      </c>
      <c r="AO30" s="1416" t="str">
        <f>IF(OR('Recycling - Case 2'!AC100="No",'Recycling - Case 2'!T140="No"), "No", "Yes")</f>
        <v>Yes</v>
      </c>
      <c r="AP30" s="1101">
        <f t="shared" si="93"/>
        <v>16422.85727496622</v>
      </c>
      <c r="AQ30" s="1102">
        <f t="shared" si="94"/>
        <v>1048.4613635432911</v>
      </c>
      <c r="AR30" s="1102">
        <f t="shared" si="95"/>
        <v>299.52410113774715</v>
      </c>
      <c r="AS30" s="1102">
        <f t="shared" si="96"/>
        <v>4069.6472808319609</v>
      </c>
      <c r="AT30" s="1142">
        <f t="shared" si="37"/>
        <v>21840.490020479217</v>
      </c>
      <c r="AU30" s="1423" t="str">
        <f>IF(OR('Recycling - Case 2'!AC100="No",'Recycling - Case 2'!T180="No"), "No", "Yes")</f>
        <v>Yes</v>
      </c>
      <c r="AV30" s="1101">
        <f t="shared" si="63"/>
        <v>16422.879817767895</v>
      </c>
      <c r="AW30" s="1102">
        <f t="shared" si="64"/>
        <v>804.51721692365982</v>
      </c>
      <c r="AX30" s="1102">
        <f t="shared" si="65"/>
        <v>299.52410113774715</v>
      </c>
      <c r="AY30" s="1102">
        <f t="shared" si="66"/>
        <v>4069.6472808319609</v>
      </c>
      <c r="AZ30" s="1142">
        <f t="shared" si="67"/>
        <v>21596.568416661263</v>
      </c>
      <c r="BA30" s="1423" t="str">
        <f>IF(OR('Recycling - Case 3'!AC100="No",'Recycling - Case 3'!T140="No"), "No", "Yes")</f>
        <v>Yes</v>
      </c>
      <c r="BB30" s="1101">
        <f t="shared" si="97"/>
        <v>16422.879817767895</v>
      </c>
      <c r="BC30" s="1102">
        <f t="shared" si="98"/>
        <v>804.51721692365982</v>
      </c>
      <c r="BD30" s="1102">
        <f t="shared" si="99"/>
        <v>299.52410113774715</v>
      </c>
      <c r="BE30" s="1102">
        <f t="shared" si="100"/>
        <v>4069.6472808319609</v>
      </c>
      <c r="BF30" s="1142">
        <f t="shared" si="47"/>
        <v>21596.568416661263</v>
      </c>
      <c r="BG30" s="1423" t="str">
        <f>IF(OR('Recycling - Case 3'!AC100="No",'Recycling - Case 3'!T180="No"), "No", "Yes")</f>
        <v>Yes</v>
      </c>
      <c r="BH30" s="596">
        <f t="shared" si="48"/>
        <v>2020</v>
      </c>
      <c r="BI30" s="1102">
        <f>'Recycling - Case 1'!BV100</f>
        <v>107.3926541805366</v>
      </c>
      <c r="BJ30" s="417">
        <f>'Recycling - Case 1'!BW100</f>
        <v>0.36848843643229234</v>
      </c>
      <c r="BK30" s="1142">
        <f>'Recycling - Case 1'!BX100</f>
        <v>51.132056241912686</v>
      </c>
      <c r="BL30" s="1101">
        <f>'Recycling - Case 1'!BY100</f>
        <v>107.3926541805366</v>
      </c>
      <c r="BM30" s="576">
        <f>'Recycling - Case 1'!BZ100</f>
        <v>0.36848843643229234</v>
      </c>
      <c r="BN30" s="1142">
        <f>'Recycling - Case 1'!CA100</f>
        <v>51.132056241912686</v>
      </c>
      <c r="BO30" s="1102">
        <f>'Recycling - Case 2'!BV100</f>
        <v>107.76580206740455</v>
      </c>
      <c r="BP30" s="417">
        <f>'Recycling - Case 2'!BW100</f>
        <v>0.40182480874928223</v>
      </c>
      <c r="BQ30" s="1142">
        <f>'Recycling - Case 2'!BX100</f>
        <v>51.132056241912686</v>
      </c>
      <c r="BR30" s="1101">
        <f>'Recycling - Case 2'!BY100</f>
        <v>107.76580206740455</v>
      </c>
      <c r="BS30" s="417">
        <f>'Recycling - Case 2'!BZ100</f>
        <v>0.40182480874928223</v>
      </c>
      <c r="BT30" s="1142">
        <f>'Recycling - Case 2'!CA100</f>
        <v>51.132056241912686</v>
      </c>
      <c r="BU30" s="1102">
        <f>'Recycling - Case 3'!BV100</f>
        <v>107.76580206740455</v>
      </c>
      <c r="BV30" s="417">
        <f>'Recycling - Case 3'!BW100</f>
        <v>0.40182480874928223</v>
      </c>
      <c r="BW30" s="1142">
        <f>'Recycling - Case 3'!BX100</f>
        <v>51.132056241912686</v>
      </c>
      <c r="BX30" s="1101">
        <f>'Recycling - Case 3'!BY100</f>
        <v>107.76580206740455</v>
      </c>
      <c r="BY30" s="417">
        <f>'Recycling - Case 3'!BZ100</f>
        <v>0.40182480874928223</v>
      </c>
      <c r="BZ30" s="1142">
        <f>'Recycling - Case 3'!CA100</f>
        <v>51.132056241912686</v>
      </c>
      <c r="CA30" s="596">
        <v>2020</v>
      </c>
      <c r="CB30" s="649">
        <f>'Recycling - Case 1'!CB100</f>
        <v>7.0040644951311681E-2</v>
      </c>
      <c r="CC30" s="417">
        <f>'Recycling - Case 1'!CC100</f>
        <v>0.16954816382555338</v>
      </c>
      <c r="CD30" s="417">
        <f>'Recycling - Case 1'!CD100</f>
        <v>7.0040644951311681E-2</v>
      </c>
      <c r="CE30" s="525">
        <f>'Recycling - Case 1'!CE100</f>
        <v>0.16954816382555338</v>
      </c>
      <c r="CF30" s="649">
        <f>'Recycling - Case 2'!CB100</f>
        <v>6.3097402659273327E-2</v>
      </c>
      <c r="CG30" s="417">
        <f>'Recycling - Case 2'!CC100</f>
        <v>0.16758616013099048</v>
      </c>
      <c r="CH30" s="417">
        <f>'Recycling - Case 2'!CD100</f>
        <v>6.3097402659273327E-2</v>
      </c>
      <c r="CI30" s="525">
        <f>'Recycling - Case 2'!CE100</f>
        <v>0.16758616013099048</v>
      </c>
      <c r="CJ30" s="649">
        <f>'Recycling - Case 3'!CB100</f>
        <v>6.3097402659273327E-2</v>
      </c>
      <c r="CK30" s="417">
        <f>'Recycling - Case 3'!CC100</f>
        <v>0.16758616013099048</v>
      </c>
      <c r="CL30" s="417">
        <f>'Recycling - Case 3'!CD100</f>
        <v>6.3097402659273327E-2</v>
      </c>
      <c r="CM30" s="525">
        <f>'Recycling - Case 3'!CE100</f>
        <v>0.16758616013099048</v>
      </c>
    </row>
    <row r="31" spans="1:91">
      <c r="A31" s="4">
        <f>'Input data'!A120</f>
        <v>2020</v>
      </c>
      <c r="B31" s="4"/>
      <c r="C31" s="769">
        <f>'4A SWD Case 1'!BG90</f>
        <v>780.95200235252298</v>
      </c>
      <c r="D31" s="3">
        <f>'4B Biological treatment '!T84</f>
        <v>0.47494571573223143</v>
      </c>
      <c r="E31" s="1157">
        <f>'4B Biological treatment '!U84</f>
        <v>24.823933717072919</v>
      </c>
      <c r="F31" s="1157">
        <f>'4B Biological treatment '!W84</f>
        <v>1.4894360230243748</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16399.992049402983</v>
      </c>
      <c r="M31" s="772">
        <f t="shared" si="70"/>
        <v>9.9738600303768603</v>
      </c>
      <c r="N31" s="771">
        <f t="shared" si="71"/>
        <v>983.02777519608753</v>
      </c>
      <c r="O31" s="773">
        <f t="shared" si="72"/>
        <v>296.95916503445704</v>
      </c>
      <c r="P31" s="771">
        <f t="shared" si="73"/>
        <v>3916.619774427455</v>
      </c>
      <c r="Q31" s="519">
        <f t="shared" si="74"/>
        <v>16399.992049402983</v>
      </c>
      <c r="R31" s="521">
        <f t="shared" si="75"/>
        <v>993.00163522646437</v>
      </c>
      <c r="S31" s="518">
        <f t="shared" si="76"/>
        <v>296.95916503445704</v>
      </c>
      <c r="T31" s="519">
        <f t="shared" si="77"/>
        <v>3916.619774427455</v>
      </c>
      <c r="U31" s="519">
        <f t="shared" si="78"/>
        <v>21606.572624091357</v>
      </c>
      <c r="V31" s="3"/>
      <c r="W31" s="596">
        <f t="shared" si="79"/>
        <v>2021</v>
      </c>
      <c r="X31" s="1101">
        <f t="shared" si="80"/>
        <v>15964.408511210677</v>
      </c>
      <c r="Y31" s="1102">
        <f t="shared" si="81"/>
        <v>1052.6277560837971</v>
      </c>
      <c r="Z31" s="1102">
        <f t="shared" si="82"/>
        <v>289.30826928918913</v>
      </c>
      <c r="AA31" s="1102">
        <f t="shared" si="83"/>
        <v>3995.2541307434112</v>
      </c>
      <c r="AB31" s="1142">
        <f t="shared" si="22"/>
        <v>21301.598667327075</v>
      </c>
      <c r="AC31" s="1423" t="str">
        <f>IF(OR('Recycling - Case 1'!AC101="No",'Recycling - Case 1'!T141="No"), "No", "Yes")</f>
        <v>Yes</v>
      </c>
      <c r="AD31" s="1101">
        <f t="shared" si="84"/>
        <v>15964.408511210677</v>
      </c>
      <c r="AE31" s="1102">
        <f t="shared" si="85"/>
        <v>1052.6277560837971</v>
      </c>
      <c r="AF31" s="1102">
        <f t="shared" si="86"/>
        <v>289.30826928918913</v>
      </c>
      <c r="AG31" s="1102">
        <f t="shared" si="87"/>
        <v>3995.2541307434112</v>
      </c>
      <c r="AH31" s="1142">
        <f t="shared" si="60"/>
        <v>21301.598667327075</v>
      </c>
      <c r="AI31" s="1423" t="str">
        <f>IF(OR('Recycling - Case 1'!AI12="No",'Recycling - Case 1'!Z141="No"), "No", "Yes")</f>
        <v>Yes</v>
      </c>
      <c r="AJ31" s="1101">
        <f t="shared" si="88"/>
        <v>15979.833484794162</v>
      </c>
      <c r="AK31" s="1102">
        <f t="shared" si="89"/>
        <v>1272.7485031807246</v>
      </c>
      <c r="AL31" s="1102">
        <f t="shared" si="90"/>
        <v>275.36438549102087</v>
      </c>
      <c r="AM31" s="1102">
        <f t="shared" si="91"/>
        <v>4201.6401192926323</v>
      </c>
      <c r="AN31" s="1142">
        <f t="shared" si="92"/>
        <v>21729.586492758543</v>
      </c>
      <c r="AO31" s="1416" t="str">
        <f>IF(OR('Recycling - Case 2'!AC101="No",'Recycling - Case 2'!T141="No"), "No", "Yes")</f>
        <v>Yes</v>
      </c>
      <c r="AP31" s="1101">
        <f t="shared" si="93"/>
        <v>15979.833484794162</v>
      </c>
      <c r="AQ31" s="1102">
        <f t="shared" si="94"/>
        <v>1272.7485031807246</v>
      </c>
      <c r="AR31" s="1102">
        <f t="shared" si="95"/>
        <v>275.36438549102087</v>
      </c>
      <c r="AS31" s="1102">
        <f t="shared" si="96"/>
        <v>4201.6401192926323</v>
      </c>
      <c r="AT31" s="1142">
        <f t="shared" si="37"/>
        <v>21729.586492758543</v>
      </c>
      <c r="AU31" s="1423" t="str">
        <f>IF(OR('Recycling - Case 2'!AC101="No",'Recycling - Case 2'!T181="No"), "No", "Yes")</f>
        <v>Yes</v>
      </c>
      <c r="AV31" s="1101">
        <f t="shared" si="63"/>
        <v>15979.878195263984</v>
      </c>
      <c r="AW31" s="1102">
        <f t="shared" si="64"/>
        <v>875.51711717739863</v>
      </c>
      <c r="AX31" s="1102">
        <f t="shared" si="65"/>
        <v>275.36438549102087</v>
      </c>
      <c r="AY31" s="1102">
        <f t="shared" si="66"/>
        <v>4201.6401192926323</v>
      </c>
      <c r="AZ31" s="1142">
        <f t="shared" si="67"/>
        <v>21332.399817225036</v>
      </c>
      <c r="BA31" s="1423" t="str">
        <f>IF(OR('Recycling - Case 3'!AC101="No",'Recycling - Case 3'!T141="No"), "No", "Yes")</f>
        <v>Yes</v>
      </c>
      <c r="BB31" s="1101">
        <f t="shared" si="97"/>
        <v>15979.878195263984</v>
      </c>
      <c r="BC31" s="1102">
        <f t="shared" si="98"/>
        <v>875.51711717739852</v>
      </c>
      <c r="BD31" s="1102">
        <f t="shared" si="99"/>
        <v>275.36438549102087</v>
      </c>
      <c r="BE31" s="1102">
        <f t="shared" si="100"/>
        <v>4201.6401192926323</v>
      </c>
      <c r="BF31" s="1142">
        <f t="shared" si="47"/>
        <v>21332.399817225036</v>
      </c>
      <c r="BG31" s="1423" t="str">
        <f>IF(OR('Recycling - Case 3'!AC101="No",'Recycling - Case 3'!T181="No"), "No", "Yes")</f>
        <v>Yes</v>
      </c>
      <c r="BH31" s="596">
        <f t="shared" si="48"/>
        <v>2021</v>
      </c>
      <c r="BI31" s="1102">
        <f>'Recycling - Case 1'!BV101</f>
        <v>105.36448545919635</v>
      </c>
      <c r="BJ31" s="417">
        <f>'Recycling - Case 1'!BW101</f>
        <v>0.38975324443815274</v>
      </c>
      <c r="BK31" s="1142">
        <f>'Recycling - Case 1'!BX101</f>
        <v>51.275503644747033</v>
      </c>
      <c r="BL31" s="1101">
        <f>'Recycling - Case 1'!BY101</f>
        <v>105.36448545919635</v>
      </c>
      <c r="BM31" s="576">
        <f>'Recycling - Case 1'!BZ101</f>
        <v>0.38975324443815274</v>
      </c>
      <c r="BN31" s="1142">
        <f>'Recycling - Case 1'!CA101</f>
        <v>51.275503644747033</v>
      </c>
      <c r="BO31" s="1102">
        <f>'Recycling - Case 2'!BV101</f>
        <v>98.572857430742403</v>
      </c>
      <c r="BP31" s="417">
        <f>'Recycling - Case 2'!BW101</f>
        <v>0.47521627923214255</v>
      </c>
      <c r="BQ31" s="1142">
        <f>'Recycling - Case 2'!BX101</f>
        <v>51.275503644747033</v>
      </c>
      <c r="BR31" s="1101">
        <f>'Recycling - Case 2'!BY101</f>
        <v>98.572857430742403</v>
      </c>
      <c r="BS31" s="417">
        <f>'Recycling - Case 2'!BZ101</f>
        <v>0.47521627923214255</v>
      </c>
      <c r="BT31" s="1142">
        <f>'Recycling - Case 2'!CA101</f>
        <v>51.275503644747033</v>
      </c>
      <c r="BU31" s="1102">
        <f>'Recycling - Case 3'!BV101</f>
        <v>98.572857430742403</v>
      </c>
      <c r="BV31" s="417">
        <f>'Recycling - Case 3'!BW101</f>
        <v>0.47521627923214255</v>
      </c>
      <c r="BW31" s="1142">
        <f>'Recycling - Case 3'!BX101</f>
        <v>51.275503644747033</v>
      </c>
      <c r="BX31" s="1101">
        <f>'Recycling - Case 3'!BY101</f>
        <v>98.572857430742403</v>
      </c>
      <c r="BY31" s="417">
        <f>'Recycling - Case 3'!BZ101</f>
        <v>0.47521627923214255</v>
      </c>
      <c r="BZ31" s="1142">
        <f>'Recycling - Case 3'!CA101</f>
        <v>51.275503644747033</v>
      </c>
      <c r="CA31" s="596">
        <v>2021</v>
      </c>
      <c r="CB31" s="649">
        <f>'Recycling - Case 1'!CB101</f>
        <v>8.7685876347071812E-2</v>
      </c>
      <c r="CC31" s="417">
        <f>'Recycling - Case 1'!CC101</f>
        <v>0.20191576760538388</v>
      </c>
      <c r="CD31" s="417">
        <f>'Recycling - Case 1'!CD101</f>
        <v>8.7685876347071812E-2</v>
      </c>
      <c r="CE31" s="525">
        <f>'Recycling - Case 1'!CE101</f>
        <v>0.20191576760538388</v>
      </c>
      <c r="CF31" s="649">
        <f>'Recycling - Case 2'!CB101</f>
        <v>9.726841017376453E-2</v>
      </c>
      <c r="CG31" s="417">
        <f>'Recycling - Case 2'!CC101</f>
        <v>0.26553132931308865</v>
      </c>
      <c r="CH31" s="417">
        <f>'Recycling - Case 2'!CD101</f>
        <v>9.726841017376453E-2</v>
      </c>
      <c r="CI31" s="525">
        <f>'Recycling - Case 2'!CE101</f>
        <v>0.26553132931308865</v>
      </c>
      <c r="CJ31" s="649">
        <f>'Recycling - Case 3'!CB101</f>
        <v>9.726841017376453E-2</v>
      </c>
      <c r="CK31" s="417">
        <f>'Recycling - Case 3'!CC101</f>
        <v>0.26553132931308865</v>
      </c>
      <c r="CL31" s="417">
        <f>'Recycling - Case 3'!CD101</f>
        <v>9.726841017376453E-2</v>
      </c>
      <c r="CM31" s="525">
        <f>'Recycling - Case 3'!CE101</f>
        <v>0.26553132931308865</v>
      </c>
    </row>
    <row r="32" spans="1:91">
      <c r="A32" s="4">
        <f>'Input data'!A121</f>
        <v>2021</v>
      </c>
      <c r="B32" s="4"/>
      <c r="C32" s="769">
        <f>'4A SWD Case 1'!BG91</f>
        <v>760.20992910527036</v>
      </c>
      <c r="D32" s="3">
        <f>'4B Biological treatment '!T85</f>
        <v>0.54325316706500992</v>
      </c>
      <c r="E32" s="1157">
        <f>'4B Biological treatment '!U85</f>
        <v>26.293420191298786</v>
      </c>
      <c r="F32" s="1157">
        <f>'4B Biological treatment '!W85</f>
        <v>1.5776052114779271</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15964.408511210677</v>
      </c>
      <c r="M32" s="772">
        <f t="shared" si="70"/>
        <v>11.408316508365209</v>
      </c>
      <c r="N32" s="771">
        <f t="shared" si="71"/>
        <v>1041.2194395754318</v>
      </c>
      <c r="O32" s="773">
        <f t="shared" si="72"/>
        <v>289.30826928918913</v>
      </c>
      <c r="P32" s="771">
        <f t="shared" si="73"/>
        <v>3995.2541307434112</v>
      </c>
      <c r="Q32" s="519">
        <f t="shared" si="74"/>
        <v>15964.408511210677</v>
      </c>
      <c r="R32" s="521">
        <f t="shared" si="75"/>
        <v>1052.6277560837971</v>
      </c>
      <c r="S32" s="518">
        <f t="shared" si="76"/>
        <v>289.30826928918913</v>
      </c>
      <c r="T32" s="519">
        <f t="shared" si="77"/>
        <v>3995.2541307434112</v>
      </c>
      <c r="U32" s="519">
        <f t="shared" si="78"/>
        <v>21301.598667327075</v>
      </c>
      <c r="V32" s="3"/>
      <c r="W32" s="596">
        <f t="shared" si="79"/>
        <v>2022</v>
      </c>
      <c r="X32" s="1101">
        <f t="shared" si="80"/>
        <v>15516.347325639759</v>
      </c>
      <c r="Y32" s="1102">
        <f t="shared" si="81"/>
        <v>1109.3130661951122</v>
      </c>
      <c r="Z32" s="1102">
        <f t="shared" si="82"/>
        <v>281.88387608267908</v>
      </c>
      <c r="AA32" s="1102">
        <f t="shared" si="83"/>
        <v>4075.1800556596418</v>
      </c>
      <c r="AB32" s="1142">
        <f t="shared" si="22"/>
        <v>20982.724323577193</v>
      </c>
      <c r="AC32" s="1423" t="str">
        <f>IF(OR('Recycling - Case 1'!AC102="No",'Recycling - Case 1'!T142="No"), "No", "Yes")</f>
        <v>Yes</v>
      </c>
      <c r="AD32" s="1101">
        <f t="shared" si="84"/>
        <v>15516.347325639759</v>
      </c>
      <c r="AE32" s="1102">
        <f t="shared" si="85"/>
        <v>1109.3130661951122</v>
      </c>
      <c r="AF32" s="1102">
        <f t="shared" si="86"/>
        <v>281.88387608267908</v>
      </c>
      <c r="AG32" s="1102">
        <f t="shared" si="87"/>
        <v>4075.1800556596418</v>
      </c>
      <c r="AH32" s="1142">
        <f t="shared" si="60"/>
        <v>20982.724323577193</v>
      </c>
      <c r="AI32" s="1423" t="str">
        <f>IF(OR('Recycling - Case 1'!AI13="No",'Recycling - Case 1'!Z142="No"), "No", "Yes")</f>
        <v>Yes</v>
      </c>
      <c r="AJ32" s="1101">
        <f t="shared" si="88"/>
        <v>15434.501522964913</v>
      </c>
      <c r="AK32" s="1102">
        <f t="shared" si="89"/>
        <v>1382.3162923532975</v>
      </c>
      <c r="AL32" s="1102">
        <f t="shared" si="90"/>
        <v>229.17353377197622</v>
      </c>
      <c r="AM32" s="1102">
        <f t="shared" si="91"/>
        <v>4336.1329960221574</v>
      </c>
      <c r="AN32" s="1142">
        <f t="shared" si="92"/>
        <v>21382.124345112345</v>
      </c>
      <c r="AO32" s="1416" t="str">
        <f>IF(OR('Recycling - Case 2'!AC102="No",'Recycling - Case 2'!T142="No"), "No", "Yes")</f>
        <v>No</v>
      </c>
      <c r="AP32" s="1101">
        <f t="shared" si="93"/>
        <v>15434.501522964913</v>
      </c>
      <c r="AQ32" s="1102">
        <f t="shared" si="94"/>
        <v>1382.3162923532975</v>
      </c>
      <c r="AR32" s="1102">
        <f t="shared" si="95"/>
        <v>229.17353377197622</v>
      </c>
      <c r="AS32" s="1102">
        <f t="shared" si="96"/>
        <v>4336.1329960221574</v>
      </c>
      <c r="AT32" s="1142">
        <f t="shared" si="37"/>
        <v>21382.124345112345</v>
      </c>
      <c r="AU32" s="1423" t="str">
        <f>IF(OR('Recycling - Case 2'!AC102="No",'Recycling - Case 2'!T182="No"), "No", "Yes")</f>
        <v>No</v>
      </c>
      <c r="AV32" s="1101">
        <f t="shared" si="63"/>
        <v>15434.575297455343</v>
      </c>
      <c r="AW32" s="1102">
        <f t="shared" si="64"/>
        <v>839.50989469043861</v>
      </c>
      <c r="AX32" s="1102">
        <f t="shared" si="65"/>
        <v>229.17353377197622</v>
      </c>
      <c r="AY32" s="1102">
        <f t="shared" si="66"/>
        <v>4336.1329960221574</v>
      </c>
      <c r="AZ32" s="1142">
        <f t="shared" si="67"/>
        <v>20839.391721939915</v>
      </c>
      <c r="BA32" s="1423" t="str">
        <f>IF(OR('Recycling - Case 3'!AC102="No",'Recycling - Case 3'!T142="No"), "No", "Yes")</f>
        <v>No</v>
      </c>
      <c r="BB32" s="1101">
        <f t="shared" si="97"/>
        <v>15434.575297455343</v>
      </c>
      <c r="BC32" s="1102">
        <f t="shared" si="98"/>
        <v>839.50989469043861</v>
      </c>
      <c r="BD32" s="1102">
        <f t="shared" si="99"/>
        <v>229.17353377197622</v>
      </c>
      <c r="BE32" s="1102">
        <f t="shared" si="100"/>
        <v>4336.1329960221574</v>
      </c>
      <c r="BF32" s="1142">
        <f t="shared" si="47"/>
        <v>20839.391721939915</v>
      </c>
      <c r="BG32" s="1423" t="str">
        <f>IF(OR('Recycling - Case 3'!AC102="No",'Recycling - Case 3'!T182="No"), "No", "Yes")</f>
        <v>No</v>
      </c>
      <c r="BH32" s="596">
        <f t="shared" si="48"/>
        <v>2022</v>
      </c>
      <c r="BI32" s="1102">
        <f>'Recycling - Case 1'!BV102</f>
        <v>103.32303668591965</v>
      </c>
      <c r="BJ32" s="417">
        <f>'Recycling - Case 1'!BW102</f>
        <v>0.41000760372297357</v>
      </c>
      <c r="BK32" s="1142">
        <f>'Recycling - Case 1'!BX102</f>
        <v>50.359792847133136</v>
      </c>
      <c r="BL32" s="1101">
        <f>'Recycling - Case 1'!BY102</f>
        <v>103.32303668591965</v>
      </c>
      <c r="BM32" s="417">
        <f>'Recycling - Case 1'!BZ102</f>
        <v>0.41000760372297357</v>
      </c>
      <c r="BN32" s="1142">
        <f>'Recycling - Case 1'!CA102</f>
        <v>50.359792847133136</v>
      </c>
      <c r="BO32" s="1102">
        <f>'Recycling - Case 2'!BV102</f>
        <v>95.375563444580123</v>
      </c>
      <c r="BP32" s="417">
        <f>'Recycling - Case 2'!BW102</f>
        <v>0.51479453896459015</v>
      </c>
      <c r="BQ32" s="1142">
        <f>'Recycling - Case 2'!BX102</f>
        <v>50.359792847133136</v>
      </c>
      <c r="BR32" s="1101">
        <f>'Recycling - Case 2'!BY102</f>
        <v>95.375563444580123</v>
      </c>
      <c r="BS32" s="417">
        <f>'Recycling - Case 2'!BZ102</f>
        <v>0.51479453896459015</v>
      </c>
      <c r="BT32" s="1142">
        <f>'Recycling - Case 2'!CA102</f>
        <v>50.359792847133136</v>
      </c>
      <c r="BU32" s="1102">
        <f>'Recycling - Case 3'!BV102</f>
        <v>95.375563444580123</v>
      </c>
      <c r="BV32" s="417">
        <f>'Recycling - Case 3'!BW102</f>
        <v>0.51479453896459015</v>
      </c>
      <c r="BW32" s="1142">
        <f>'Recycling - Case 3'!BX102</f>
        <v>50.359792847133136</v>
      </c>
      <c r="BX32" s="1101">
        <f>'Recycling - Case 3'!BY102</f>
        <v>95.375563444580123</v>
      </c>
      <c r="BY32" s="417">
        <f>'Recycling - Case 3'!BZ102</f>
        <v>0.51479453896459015</v>
      </c>
      <c r="BZ32" s="1142">
        <f>'Recycling - Case 3'!CA102</f>
        <v>50.359792847133136</v>
      </c>
      <c r="CA32" s="596">
        <v>2022</v>
      </c>
      <c r="CB32" s="649">
        <f>'Recycling - Case 1'!CB102</f>
        <v>0.10394016738010314</v>
      </c>
      <c r="CC32" s="417">
        <f>'Recycling - Case 1'!CC102</f>
        <v>0.22335454126448873</v>
      </c>
      <c r="CD32" s="417">
        <f>'Recycling - Case 1'!CD102</f>
        <v>0.10394016738010314</v>
      </c>
      <c r="CE32" s="525">
        <f>'Recycling - Case 1'!CE102</f>
        <v>0.22335454126448873</v>
      </c>
      <c r="CF32" s="649">
        <f>'Recycling - Case 2'!CB102</f>
        <v>0.15764324460297707</v>
      </c>
      <c r="CG32" s="417">
        <f>'Recycling - Case 2'!CC102</f>
        <v>0.28688527869320646</v>
      </c>
      <c r="CH32" s="417">
        <f>'Recycling - Case 2'!CD102</f>
        <v>0.15764324460297707</v>
      </c>
      <c r="CI32" s="525">
        <f>'Recycling - Case 2'!CE102</f>
        <v>0.28688527869320646</v>
      </c>
      <c r="CJ32" s="649">
        <f>'Recycling - Case 3'!CB102</f>
        <v>0.15764324460297707</v>
      </c>
      <c r="CK32" s="417">
        <f>'Recycling - Case 3'!CC102</f>
        <v>0.28688527869320646</v>
      </c>
      <c r="CL32" s="417">
        <f>'Recycling - Case 3'!CD102</f>
        <v>0.15764324460297707</v>
      </c>
      <c r="CM32" s="525">
        <f>'Recycling - Case 3'!CE102</f>
        <v>0.28688527869320646</v>
      </c>
    </row>
    <row r="33" spans="1:91">
      <c r="A33" s="4">
        <f>'Input data'!A122</f>
        <v>2022</v>
      </c>
      <c r="B33" s="4"/>
      <c r="C33" s="769">
        <f>'4A SWD Case 1'!BG92</f>
        <v>738.87368217332187</v>
      </c>
      <c r="D33" s="3">
        <f>'4B Biological treatment '!T86</f>
        <v>0.61525960410155989</v>
      </c>
      <c r="E33" s="1157">
        <f>'4B Biological treatment '!U86</f>
        <v>27.686682184570188</v>
      </c>
      <c r="F33" s="1157">
        <f>'4B Biological treatment '!W86</f>
        <v>1.6612009310742113</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15516.347325639759</v>
      </c>
      <c r="M33" s="772">
        <f t="shared" si="70"/>
        <v>12.920451686132758</v>
      </c>
      <c r="N33" s="771">
        <f t="shared" si="71"/>
        <v>1096.3926145089795</v>
      </c>
      <c r="O33" s="773">
        <f t="shared" si="72"/>
        <v>281.88387608267908</v>
      </c>
      <c r="P33" s="771">
        <f t="shared" si="73"/>
        <v>4075.1800556596418</v>
      </c>
      <c r="Q33" s="519">
        <f t="shared" si="74"/>
        <v>15516.347325639759</v>
      </c>
      <c r="R33" s="521">
        <f t="shared" si="75"/>
        <v>1109.3130661951122</v>
      </c>
      <c r="S33" s="518">
        <f t="shared" si="76"/>
        <v>281.88387608267908</v>
      </c>
      <c r="T33" s="519">
        <f t="shared" si="77"/>
        <v>4075.1800556596418</v>
      </c>
      <c r="U33" s="519">
        <f t="shared" si="78"/>
        <v>20982.724323577193</v>
      </c>
      <c r="V33" s="3"/>
      <c r="W33" s="596">
        <f t="shared" si="79"/>
        <v>2023</v>
      </c>
      <c r="X33" s="1101">
        <f t="shared" si="80"/>
        <v>15064.760488357322</v>
      </c>
      <c r="Y33" s="1102">
        <f t="shared" si="81"/>
        <v>1172.0623778493891</v>
      </c>
      <c r="Z33" s="1102">
        <f t="shared" si="82"/>
        <v>274.67843923294652</v>
      </c>
      <c r="AA33" s="1102">
        <f t="shared" si="83"/>
        <v>4156.4168668213024</v>
      </c>
      <c r="AB33" s="1142">
        <f t="shared" si="22"/>
        <v>20667.918172260961</v>
      </c>
      <c r="AC33" s="1423" t="str">
        <f>IF(OR('Recycling - Case 1'!AC103="No",'Recycling - Case 1'!T143="No"), "No", "Yes")</f>
        <v>Yes</v>
      </c>
      <c r="AD33" s="1101">
        <f t="shared" si="84"/>
        <v>15064.760488357322</v>
      </c>
      <c r="AE33" s="1102">
        <f t="shared" si="85"/>
        <v>1172.0623778493891</v>
      </c>
      <c r="AF33" s="1102">
        <f t="shared" si="86"/>
        <v>274.67843923294652</v>
      </c>
      <c r="AG33" s="1102">
        <f t="shared" si="87"/>
        <v>4156.4168668213024</v>
      </c>
      <c r="AH33" s="1142">
        <f t="shared" si="60"/>
        <v>20667.918172260961</v>
      </c>
      <c r="AI33" s="1423" t="str">
        <f>IF(OR('Recycling - Case 1'!AI14="No",'Recycling - Case 1'!Z143="No"), "No", "Yes")</f>
        <v>Yes</v>
      </c>
      <c r="AJ33" s="1101">
        <f t="shared" si="88"/>
        <v>14855.073965653686</v>
      </c>
      <c r="AK33" s="1102">
        <f t="shared" si="89"/>
        <v>1390.4649587759375</v>
      </c>
      <c r="AL33" s="1102">
        <f t="shared" si="90"/>
        <v>217.34002107405581</v>
      </c>
      <c r="AM33" s="1102">
        <f t="shared" si="91"/>
        <v>4473.1659836582639</v>
      </c>
      <c r="AN33" s="1142">
        <f t="shared" si="92"/>
        <v>20936.044929161944</v>
      </c>
      <c r="AO33" s="1416" t="str">
        <f>IF(OR('Recycling - Case 2'!AC103="No",'Recycling - Case 2'!T143="No"), "No", "Yes")</f>
        <v>No</v>
      </c>
      <c r="AP33" s="1101">
        <f t="shared" si="93"/>
        <v>14855.073965653686</v>
      </c>
      <c r="AQ33" s="1102">
        <f t="shared" si="94"/>
        <v>1390.4649587759375</v>
      </c>
      <c r="AR33" s="1102">
        <f t="shared" si="95"/>
        <v>217.34002107405581</v>
      </c>
      <c r="AS33" s="1102">
        <f t="shared" si="96"/>
        <v>4473.1659836582639</v>
      </c>
      <c r="AT33" s="1142">
        <f t="shared" si="37"/>
        <v>20936.044929161944</v>
      </c>
      <c r="AU33" s="1423" t="str">
        <f>IF(OR('Recycling - Case 2'!AC103="No",'Recycling - Case 2'!T183="No"), "No", "Yes")</f>
        <v>No</v>
      </c>
      <c r="AV33" s="1101">
        <f t="shared" si="63"/>
        <v>14855.183484331827</v>
      </c>
      <c r="AW33" s="1102">
        <f t="shared" si="64"/>
        <v>844.45875200202522</v>
      </c>
      <c r="AX33" s="1102">
        <f t="shared" si="65"/>
        <v>217.34002107405581</v>
      </c>
      <c r="AY33" s="1102">
        <f t="shared" si="66"/>
        <v>4473.1659836582639</v>
      </c>
      <c r="AZ33" s="1142">
        <f t="shared" si="67"/>
        <v>20390.14824106617</v>
      </c>
      <c r="BA33" s="1423" t="str">
        <f>IF(OR('Recycling - Case 3'!AC103="No",'Recycling - Case 3'!T143="No"), "No", "Yes")</f>
        <v>No</v>
      </c>
      <c r="BB33" s="1101">
        <f t="shared" si="97"/>
        <v>14855.183484331827</v>
      </c>
      <c r="BC33" s="1102">
        <f t="shared" si="98"/>
        <v>844.45875200202522</v>
      </c>
      <c r="BD33" s="1102">
        <f t="shared" si="99"/>
        <v>217.34002107405581</v>
      </c>
      <c r="BE33" s="1102">
        <f t="shared" si="100"/>
        <v>4473.1659836582639</v>
      </c>
      <c r="BF33" s="1142">
        <f t="shared" si="47"/>
        <v>20390.14824106617</v>
      </c>
      <c r="BG33" s="1423" t="str">
        <f>IF(OR('Recycling - Case 3'!AC103="No",'Recycling - Case 3'!T183="No"), "No", "Yes")</f>
        <v>No</v>
      </c>
      <c r="BH33" s="596">
        <f t="shared" si="48"/>
        <v>2023</v>
      </c>
      <c r="BI33" s="1102">
        <f>'Recycling - Case 1'!BV103</f>
        <v>101.50830165650036</v>
      </c>
      <c r="BJ33" s="417">
        <f>'Recycling - Case 1'!BW103</f>
        <v>0.43064143120687154</v>
      </c>
      <c r="BK33" s="1142">
        <f>'Recycling - Case 1'!BX103</f>
        <v>49.986151288104502</v>
      </c>
      <c r="BL33" s="1101">
        <f>'Recycling - Case 1'!BY103</f>
        <v>101.50830165650036</v>
      </c>
      <c r="BM33" s="417">
        <f>'Recycling - Case 1'!BZ103</f>
        <v>0.43064143120687154</v>
      </c>
      <c r="BN33" s="1142">
        <f>'Recycling - Case 1'!CA103</f>
        <v>49.986151288104502</v>
      </c>
      <c r="BO33" s="1102">
        <f>'Recycling - Case 2'!BV103</f>
        <v>95.290411591740877</v>
      </c>
      <c r="BP33" s="417">
        <f>'Recycling - Case 2'!BW103</f>
        <v>0.53469570275482714</v>
      </c>
      <c r="BQ33" s="1142">
        <f>'Recycling - Case 2'!BX103</f>
        <v>49.986151288104502</v>
      </c>
      <c r="BR33" s="1101">
        <f>'Recycling - Case 2'!BY103</f>
        <v>95.290411591740877</v>
      </c>
      <c r="BS33" s="417">
        <f>'Recycling - Case 2'!BZ103</f>
        <v>0.53469570275482714</v>
      </c>
      <c r="BT33" s="1142">
        <f>'Recycling - Case 2'!CA103</f>
        <v>49.986151288104502</v>
      </c>
      <c r="BU33" s="1102">
        <f>'Recycling - Case 3'!BV103</f>
        <v>95.290411591740877</v>
      </c>
      <c r="BV33" s="417">
        <f>'Recycling - Case 3'!BW103</f>
        <v>0.53469570275482714</v>
      </c>
      <c r="BW33" s="1142">
        <f>'Recycling - Case 3'!BX103</f>
        <v>49.986151288104502</v>
      </c>
      <c r="BX33" s="1101">
        <f>'Recycling - Case 3'!BY103</f>
        <v>95.290411591740877</v>
      </c>
      <c r="BY33" s="417">
        <f>'Recycling - Case 3'!BZ103</f>
        <v>0.53469570275482714</v>
      </c>
      <c r="BZ33" s="1142">
        <f>'Recycling - Case 3'!CA103</f>
        <v>49.986151288104502</v>
      </c>
      <c r="CA33" s="596">
        <v>2023</v>
      </c>
      <c r="CB33" s="649">
        <f>'Recycling - Case 1'!CB103</f>
        <v>0.11889879957863858</v>
      </c>
      <c r="CC33" s="417">
        <f>'Recycling - Case 1'!CC103</f>
        <v>0.24611188164978726</v>
      </c>
      <c r="CD33" s="417">
        <f>'Recycling - Case 1'!CD103</f>
        <v>0.11889879957863858</v>
      </c>
      <c r="CE33" s="525">
        <f>'Recycling - Case 1'!CE103</f>
        <v>0.24611188164978726</v>
      </c>
      <c r="CF33" s="649">
        <f>'Recycling - Case 2'!CB103</f>
        <v>0.17661362793734681</v>
      </c>
      <c r="CG33" s="417">
        <f>'Recycling - Case 2'!CC103</f>
        <v>0.29135593588242947</v>
      </c>
      <c r="CH33" s="417">
        <f>'Recycling - Case 2'!CD103</f>
        <v>0.17661362793734681</v>
      </c>
      <c r="CI33" s="525">
        <f>'Recycling - Case 2'!CE103</f>
        <v>0.29135593588242947</v>
      </c>
      <c r="CJ33" s="649">
        <f>'Recycling - Case 3'!CB103</f>
        <v>0.17661362793734681</v>
      </c>
      <c r="CK33" s="417">
        <f>'Recycling - Case 3'!CC103</f>
        <v>0.29135593588242947</v>
      </c>
      <c r="CL33" s="417">
        <f>'Recycling - Case 3'!CD103</f>
        <v>0.17661362793734681</v>
      </c>
      <c r="CM33" s="525">
        <f>'Recycling - Case 3'!CE103</f>
        <v>0.29135593588242947</v>
      </c>
    </row>
    <row r="34" spans="1:91">
      <c r="A34" s="4">
        <f>'Input data'!A123</f>
        <v>2023</v>
      </c>
      <c r="B34" s="4"/>
      <c r="C34" s="769">
        <f>'4A SWD Case 1'!BG93</f>
        <v>717.36954706463439</v>
      </c>
      <c r="D34" s="3">
        <f>'4B Biological treatment '!T87</f>
        <v>0.65006232825811949</v>
      </c>
      <c r="E34" s="1157">
        <f>'4B Biological treatment '!U87</f>
        <v>29.25280477161537</v>
      </c>
      <c r="F34" s="1157">
        <f>'4B Biological treatment '!W87</f>
        <v>1.755168286296922</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15064.760488357322</v>
      </c>
      <c r="M34" s="772">
        <f t="shared" si="70"/>
        <v>13.651308893420509</v>
      </c>
      <c r="N34" s="771">
        <f t="shared" si="71"/>
        <v>1158.4110689559686</v>
      </c>
      <c r="O34" s="773">
        <f t="shared" si="72"/>
        <v>274.67843923294652</v>
      </c>
      <c r="P34" s="771">
        <f t="shared" si="73"/>
        <v>4156.4168668213024</v>
      </c>
      <c r="Q34" s="519">
        <f t="shared" si="74"/>
        <v>15064.760488357322</v>
      </c>
      <c r="R34" s="521">
        <f t="shared" si="75"/>
        <v>1172.0623778493891</v>
      </c>
      <c r="S34" s="518">
        <f t="shared" si="76"/>
        <v>274.67843923294652</v>
      </c>
      <c r="T34" s="519">
        <f t="shared" si="77"/>
        <v>4156.4168668213024</v>
      </c>
      <c r="U34" s="519">
        <f t="shared" si="78"/>
        <v>20667.918172260961</v>
      </c>
      <c r="V34" s="3"/>
      <c r="W34" s="596">
        <f t="shared" si="79"/>
        <v>2024</v>
      </c>
      <c r="X34" s="1101">
        <f t="shared" si="80"/>
        <v>14609.384742486171</v>
      </c>
      <c r="Y34" s="1102">
        <f t="shared" si="81"/>
        <v>1235.9016260854144</v>
      </c>
      <c r="Z34" s="1102">
        <f t="shared" si="82"/>
        <v>267.68465368255238</v>
      </c>
      <c r="AA34" s="1102">
        <f t="shared" si="83"/>
        <v>4238.9841554957311</v>
      </c>
      <c r="AB34" s="1142">
        <f t="shared" si="22"/>
        <v>20351.955177749871</v>
      </c>
      <c r="AC34" s="1423" t="str">
        <f>IF(OR('Recycling - Case 1'!AC104="No",'Recycling - Case 1'!T144="No"), "No", "Yes")</f>
        <v>Yes</v>
      </c>
      <c r="AD34" s="1101">
        <f t="shared" si="84"/>
        <v>14609.384742486171</v>
      </c>
      <c r="AE34" s="1102">
        <f t="shared" si="85"/>
        <v>1235.9016260854144</v>
      </c>
      <c r="AF34" s="1102">
        <f t="shared" si="86"/>
        <v>267.68465368255238</v>
      </c>
      <c r="AG34" s="1102">
        <f t="shared" si="87"/>
        <v>4238.9841554957311</v>
      </c>
      <c r="AH34" s="1142">
        <f t="shared" si="60"/>
        <v>20351.955177749871</v>
      </c>
      <c r="AI34" s="1423" t="str">
        <f>IF(OR('Recycling - Case 1'!AI15="No",'Recycling - Case 1'!Z144="No"), "No", "Yes")</f>
        <v>Yes</v>
      </c>
      <c r="AJ34" s="1101">
        <f t="shared" si="88"/>
        <v>14299.250536718746</v>
      </c>
      <c r="AK34" s="1102">
        <f t="shared" si="89"/>
        <v>1399.7035617803256</v>
      </c>
      <c r="AL34" s="1102">
        <f t="shared" si="90"/>
        <v>205.3038143886219</v>
      </c>
      <c r="AM34" s="1102">
        <f t="shared" si="91"/>
        <v>4612.7797461997052</v>
      </c>
      <c r="AN34" s="1142">
        <f t="shared" si="92"/>
        <v>20517.0376590874</v>
      </c>
      <c r="AO34" s="1416" t="str">
        <f>IF(OR('Recycling - Case 2'!AC104="No",'Recycling - Case 2'!T144="No"), "No", "Yes")</f>
        <v>No</v>
      </c>
      <c r="AP34" s="1101">
        <f t="shared" si="93"/>
        <v>14299.250536718746</v>
      </c>
      <c r="AQ34" s="1102">
        <f t="shared" si="94"/>
        <v>1399.7035617803256</v>
      </c>
      <c r="AR34" s="1102">
        <f t="shared" si="95"/>
        <v>205.3038143886219</v>
      </c>
      <c r="AS34" s="1102">
        <f t="shared" si="96"/>
        <v>4612.7797461997052</v>
      </c>
      <c r="AT34" s="1142">
        <f t="shared" si="37"/>
        <v>20517.0376590874</v>
      </c>
      <c r="AU34" s="1423" t="str">
        <f>IF(OR('Recycling - Case 2'!AC104="No",'Recycling - Case 2'!T184="No"), "No", "Yes")</f>
        <v>No</v>
      </c>
      <c r="AV34" s="1101">
        <f t="shared" si="63"/>
        <v>14299.40227934062</v>
      </c>
      <c r="AW34" s="1102">
        <f t="shared" si="64"/>
        <v>850.06955083164519</v>
      </c>
      <c r="AX34" s="1102">
        <f t="shared" si="65"/>
        <v>205.3038143886219</v>
      </c>
      <c r="AY34" s="1102">
        <f t="shared" si="66"/>
        <v>4612.7797461997052</v>
      </c>
      <c r="AZ34" s="1142">
        <f t="shared" si="67"/>
        <v>19967.555390760594</v>
      </c>
      <c r="BA34" s="1423" t="str">
        <f>IF(OR('Recycling - Case 3'!AC104="No",'Recycling - Case 3'!T144="No"), "No", "Yes")</f>
        <v>No</v>
      </c>
      <c r="BB34" s="1101">
        <f t="shared" si="97"/>
        <v>14299.40227934062</v>
      </c>
      <c r="BC34" s="1102">
        <f t="shared" si="98"/>
        <v>850.06955083164519</v>
      </c>
      <c r="BD34" s="1102">
        <f t="shared" si="99"/>
        <v>205.3038143886219</v>
      </c>
      <c r="BE34" s="1102">
        <f t="shared" si="100"/>
        <v>4612.7797461997052</v>
      </c>
      <c r="BF34" s="1142">
        <f t="shared" si="47"/>
        <v>19967.555390760594</v>
      </c>
      <c r="BG34" s="1423" t="str">
        <f>IF(OR('Recycling - Case 3'!AC104="No",'Recycling - Case 3'!T184="No"), "No", "Yes")</f>
        <v>No</v>
      </c>
      <c r="BH34" s="596">
        <f t="shared" si="48"/>
        <v>2024</v>
      </c>
      <c r="BI34" s="1102">
        <f>'Recycling - Case 1'!BV104</f>
        <v>100.13807452077647</v>
      </c>
      <c r="BJ34" s="417">
        <f>'Recycling - Case 1'!BW104</f>
        <v>0.45281770979141833</v>
      </c>
      <c r="BK34" s="1142">
        <f>'Recycling - Case 1'!BX104</f>
        <v>51.073828378576259</v>
      </c>
      <c r="BL34" s="1101">
        <f>'Recycling - Case 1'!BY104</f>
        <v>100.13807452077647</v>
      </c>
      <c r="BM34" s="417">
        <f>'Recycling - Case 1'!BZ104</f>
        <v>0.45281770979141833</v>
      </c>
      <c r="BN34" s="1142">
        <f>'Recycling - Case 1'!CA104</f>
        <v>51.073828378576259</v>
      </c>
      <c r="BO34" s="1102">
        <f>'Recycling - Case 2'!BV104</f>
        <v>96.739542593552457</v>
      </c>
      <c r="BP34" s="417">
        <f>'Recycling - Case 2'!BW104</f>
        <v>0.5500717918683522</v>
      </c>
      <c r="BQ34" s="1142">
        <f>'Recycling - Case 2'!BX104</f>
        <v>51.073828378576259</v>
      </c>
      <c r="BR34" s="1101">
        <f>'Recycling - Case 2'!BY104</f>
        <v>96.739542593552457</v>
      </c>
      <c r="BS34" s="417">
        <f>'Recycling - Case 2'!BZ104</f>
        <v>0.5500717918683522</v>
      </c>
      <c r="BT34" s="1142">
        <f>'Recycling - Case 2'!CA104</f>
        <v>51.073828378576259</v>
      </c>
      <c r="BU34" s="1102">
        <f>'Recycling - Case 3'!BV104</f>
        <v>96.739542593552457</v>
      </c>
      <c r="BV34" s="417">
        <f>'Recycling - Case 3'!BW104</f>
        <v>0.5500717918683522</v>
      </c>
      <c r="BW34" s="1142">
        <f>'Recycling - Case 3'!BX104</f>
        <v>51.073828378576259</v>
      </c>
      <c r="BX34" s="1101">
        <f>'Recycling - Case 3'!BY104</f>
        <v>96.739542593552457</v>
      </c>
      <c r="BY34" s="417">
        <f>'Recycling - Case 3'!BZ104</f>
        <v>0.5500717918683522</v>
      </c>
      <c r="BZ34" s="1142">
        <f>'Recycling - Case 3'!CA104</f>
        <v>51.073828378576259</v>
      </c>
      <c r="CA34" s="596">
        <v>2024</v>
      </c>
      <c r="CB34" s="649">
        <f>'Recycling - Case 1'!CB104</f>
        <v>0.13265100107403016</v>
      </c>
      <c r="CC34" s="417">
        <f>'Recycling - Case 1'!CC104</f>
        <v>0.27572987316346476</v>
      </c>
      <c r="CD34" s="417">
        <f>'Recycling - Case 1'!CD104</f>
        <v>0.13265100107403016</v>
      </c>
      <c r="CE34" s="525">
        <f>'Recycling - Case 1'!CE104</f>
        <v>0.27572987316346476</v>
      </c>
      <c r="CF34" s="649">
        <f>'Recycling - Case 2'!CB104</f>
        <v>0.19519681863773264</v>
      </c>
      <c r="CG34" s="417">
        <f>'Recycling - Case 2'!CC104</f>
        <v>0.29213779631812875</v>
      </c>
      <c r="CH34" s="417">
        <f>'Recycling - Case 2'!CD104</f>
        <v>0.19519681863773264</v>
      </c>
      <c r="CI34" s="525">
        <f>'Recycling - Case 2'!CE104</f>
        <v>0.29213779631812875</v>
      </c>
      <c r="CJ34" s="649">
        <f>'Recycling - Case 3'!CB104</f>
        <v>0.19519681863773264</v>
      </c>
      <c r="CK34" s="417">
        <f>'Recycling - Case 3'!CC104</f>
        <v>0.29213779631812875</v>
      </c>
      <c r="CL34" s="417">
        <f>'Recycling - Case 3'!CD104</f>
        <v>0.19519681863773264</v>
      </c>
      <c r="CM34" s="525">
        <f>'Recycling - Case 3'!CE104</f>
        <v>0.29213779631812875</v>
      </c>
    </row>
    <row r="35" spans="1:91">
      <c r="A35" s="4">
        <f>'Input data'!A124</f>
        <v>2024</v>
      </c>
      <c r="B35" s="4"/>
      <c r="C35" s="769">
        <f>'4A SWD Case 1'!BG94</f>
        <v>695.6849877374367</v>
      </c>
      <c r="D35" s="3">
        <f>'4B Biological treatment '!T88</f>
        <v>0.68546956521653613</v>
      </c>
      <c r="E35" s="1157">
        <f>'4B Biological treatment '!U88</f>
        <v>30.846130434744119</v>
      </c>
      <c r="F35" s="1157">
        <f>'4B Biological treatment '!W88</f>
        <v>1.850767826084647</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14609.384742486171</v>
      </c>
      <c r="M35" s="772">
        <f t="shared" si="70"/>
        <v>14.394860869547259</v>
      </c>
      <c r="N35" s="771">
        <f t="shared" si="71"/>
        <v>1221.5067652158671</v>
      </c>
      <c r="O35" s="773">
        <f t="shared" si="72"/>
        <v>267.68465368255238</v>
      </c>
      <c r="P35" s="771">
        <f t="shared" si="73"/>
        <v>4238.9841554957311</v>
      </c>
      <c r="Q35" s="519">
        <f t="shared" si="74"/>
        <v>14609.384742486171</v>
      </c>
      <c r="R35" s="521">
        <f t="shared" si="75"/>
        <v>1235.9016260854144</v>
      </c>
      <c r="S35" s="518">
        <f t="shared" si="76"/>
        <v>267.68465368255238</v>
      </c>
      <c r="T35" s="519">
        <f t="shared" si="77"/>
        <v>4238.9841554957311</v>
      </c>
      <c r="U35" s="519">
        <f t="shared" si="78"/>
        <v>20351.955177749871</v>
      </c>
      <c r="V35" s="3"/>
      <c r="W35" s="596">
        <f t="shared" si="79"/>
        <v>2025</v>
      </c>
      <c r="X35" s="1101">
        <f t="shared" si="80"/>
        <v>14145.858877724584</v>
      </c>
      <c r="Y35" s="1102">
        <f t="shared" si="81"/>
        <v>1299.322595240448</v>
      </c>
      <c r="Z35" s="1102">
        <f t="shared" si="82"/>
        <v>260.89544660619578</v>
      </c>
      <c r="AA35" s="1102">
        <f t="shared" si="83"/>
        <v>4322.9017903124422</v>
      </c>
      <c r="AB35" s="1142">
        <f t="shared" si="22"/>
        <v>20028.978709883668</v>
      </c>
      <c r="AC35" s="1423" t="str">
        <f>IF(OR('Recycling - Case 1'!AC105="No",'Recycling - Case 1'!T145="No"), "No", "Yes")</f>
        <v>No</v>
      </c>
      <c r="AD35" s="1101">
        <f t="shared" si="84"/>
        <v>14145.858877724584</v>
      </c>
      <c r="AE35" s="1102">
        <f t="shared" si="85"/>
        <v>1299.322595240448</v>
      </c>
      <c r="AF35" s="1102">
        <f t="shared" si="86"/>
        <v>260.89544660619578</v>
      </c>
      <c r="AG35" s="1102">
        <f t="shared" si="87"/>
        <v>4322.9017903124422</v>
      </c>
      <c r="AH35" s="1142">
        <f t="shared" si="60"/>
        <v>20028.978709883668</v>
      </c>
      <c r="AI35" s="1423" t="str">
        <f>IF(OR('Recycling - Case 1'!AI16="No",'Recycling - Case 1'!Z145="No"), "No", "Yes")</f>
        <v>Yes</v>
      </c>
      <c r="AJ35" s="1101">
        <f t="shared" si="88"/>
        <v>13765.332476238824</v>
      </c>
      <c r="AK35" s="1102">
        <f t="shared" si="89"/>
        <v>1408.523885703722</v>
      </c>
      <c r="AL35" s="1102">
        <f t="shared" si="90"/>
        <v>193.05753067442905</v>
      </c>
      <c r="AM35" s="1102">
        <f t="shared" si="91"/>
        <v>4755.015547311632</v>
      </c>
      <c r="AN35" s="1142">
        <f t="shared" si="92"/>
        <v>20121.929439928608</v>
      </c>
      <c r="AO35" s="1416" t="str">
        <f>IF(OR('Recycling - Case 2'!AC105="No",'Recycling - Case 2'!T145="No"), "No", "Yes")</f>
        <v>No</v>
      </c>
      <c r="AP35" s="1101">
        <f t="shared" si="93"/>
        <v>13765.332476238824</v>
      </c>
      <c r="AQ35" s="1102">
        <f t="shared" si="94"/>
        <v>1408.523885703722</v>
      </c>
      <c r="AR35" s="1102">
        <f t="shared" si="95"/>
        <v>193.05753067442905</v>
      </c>
      <c r="AS35" s="1102">
        <f t="shared" si="96"/>
        <v>4755.015547311632</v>
      </c>
      <c r="AT35" s="1142">
        <f t="shared" si="37"/>
        <v>20121.929439928608</v>
      </c>
      <c r="AU35" s="1423" t="str">
        <f>IF(OR('Recycling - Case 2'!AC105="No",'Recycling - Case 2'!T185="No"), "No", "Yes")</f>
        <v>No</v>
      </c>
      <c r="AV35" s="1101">
        <f t="shared" si="63"/>
        <v>13765.532737053807</v>
      </c>
      <c r="AW35" s="1102">
        <f t="shared" si="64"/>
        <v>855.42631993653652</v>
      </c>
      <c r="AX35" s="1102">
        <f t="shared" si="65"/>
        <v>193.05753067442905</v>
      </c>
      <c r="AY35" s="1102">
        <f t="shared" si="66"/>
        <v>4755.015547311632</v>
      </c>
      <c r="AZ35" s="1142">
        <f t="shared" si="67"/>
        <v>19569.032134976405</v>
      </c>
      <c r="BA35" s="1423" t="str">
        <f>IF(OR('Recycling - Case 3'!AC105="No",'Recycling - Case 3'!T145="No"), "No", "Yes")</f>
        <v>No</v>
      </c>
      <c r="BB35" s="1101">
        <f t="shared" si="97"/>
        <v>13765.532737053807</v>
      </c>
      <c r="BC35" s="1102">
        <f t="shared" si="98"/>
        <v>855.42631993653652</v>
      </c>
      <c r="BD35" s="1102">
        <f t="shared" si="99"/>
        <v>193.05753067442905</v>
      </c>
      <c r="BE35" s="1102">
        <f t="shared" si="100"/>
        <v>4755.015547311632</v>
      </c>
      <c r="BF35" s="1142">
        <f t="shared" si="47"/>
        <v>19569.032134976405</v>
      </c>
      <c r="BG35" s="1423" t="str">
        <f>IF(OR('Recycling - Case 3'!AC105="No",'Recycling - Case 3'!T185="No"), "No", "Yes")</f>
        <v>No</v>
      </c>
      <c r="BH35" s="596">
        <f t="shared" si="48"/>
        <v>2025</v>
      </c>
      <c r="BI35" s="1102">
        <f>'Recycling - Case 1'!BV105</f>
        <v>98.867901949687308</v>
      </c>
      <c r="BJ35" s="417">
        <f>'Recycling - Case 1'!BW105</f>
        <v>0.47437083432444616</v>
      </c>
      <c r="BK35" s="1142">
        <f>'Recycling - Case 1'!BX105</f>
        <v>51.201731866750301</v>
      </c>
      <c r="BL35" s="1101">
        <f>'Recycling - Case 1'!BY105</f>
        <v>98.867901949687308</v>
      </c>
      <c r="BM35" s="417">
        <f>'Recycling - Case 1'!BZ105</f>
        <v>0.47437083432444616</v>
      </c>
      <c r="BN35" s="1142">
        <f>'Recycling - Case 1'!CA105</f>
        <v>51.201731866750301</v>
      </c>
      <c r="BO35" s="1102">
        <f>'Recycling - Case 2'!BV105</f>
        <v>97.20323675199424</v>
      </c>
      <c r="BP35" s="417">
        <f>'Recycling - Case 2'!BW105</f>
        <v>0.56837627074733488</v>
      </c>
      <c r="BQ35" s="1142">
        <f>'Recycling - Case 2'!BX105</f>
        <v>51.201731866750301</v>
      </c>
      <c r="BR35" s="1101">
        <f>'Recycling - Case 2'!BY105</f>
        <v>97.20323675199424</v>
      </c>
      <c r="BS35" s="417">
        <f>'Recycling - Case 2'!BZ105</f>
        <v>0.56837627074733488</v>
      </c>
      <c r="BT35" s="1142">
        <f>'Recycling - Case 2'!CA105</f>
        <v>51.201731866750301</v>
      </c>
      <c r="BU35" s="1102">
        <f>'Recycling - Case 3'!BV105</f>
        <v>97.20323675199424</v>
      </c>
      <c r="BV35" s="417">
        <f>'Recycling - Case 3'!BW105</f>
        <v>0.56837627074733488</v>
      </c>
      <c r="BW35" s="1142">
        <f>'Recycling - Case 3'!BX105</f>
        <v>51.201731866750301</v>
      </c>
      <c r="BX35" s="1101">
        <f>'Recycling - Case 3'!BY105</f>
        <v>97.20323675199424</v>
      </c>
      <c r="BY35" s="417">
        <f>'Recycling - Case 3'!BZ105</f>
        <v>0.56837627074733488</v>
      </c>
      <c r="BZ35" s="1142">
        <f>'Recycling - Case 3'!CA105</f>
        <v>51.201731866750301</v>
      </c>
      <c r="CA35" s="596">
        <v>2025</v>
      </c>
      <c r="CB35" s="649">
        <f>'Recycling - Case 1'!CB105</f>
        <v>0.14528032436176563</v>
      </c>
      <c r="CC35" s="417">
        <f>'Recycling - Case 1'!CC105</f>
        <v>0.29670515725495739</v>
      </c>
      <c r="CD35" s="417">
        <f>'Recycling - Case 1'!CD105</f>
        <v>0.14528032436176563</v>
      </c>
      <c r="CE35" s="525">
        <f>'Recycling - Case 1'!CE105</f>
        <v>0.29670515725495739</v>
      </c>
      <c r="CF35" s="649">
        <f>'Recycling - Case 2'!CB105</f>
        <v>0.21340034507035144</v>
      </c>
      <c r="CG35" s="417">
        <f>'Recycling - Case 2'!CC105</f>
        <v>0.29531524673892984</v>
      </c>
      <c r="CH35" s="417">
        <f>'Recycling - Case 2'!CD105</f>
        <v>0.21340034507035144</v>
      </c>
      <c r="CI35" s="525">
        <f>'Recycling - Case 2'!CE105</f>
        <v>0.29531524673892984</v>
      </c>
      <c r="CJ35" s="649">
        <f>'Recycling - Case 3'!CB105</f>
        <v>0.21340034507035144</v>
      </c>
      <c r="CK35" s="417">
        <f>'Recycling - Case 3'!CC105</f>
        <v>0.29531524673892984</v>
      </c>
      <c r="CL35" s="417">
        <f>'Recycling - Case 3'!CD105</f>
        <v>0.21340034507035144</v>
      </c>
      <c r="CM35" s="525">
        <f>'Recycling - Case 3'!CE105</f>
        <v>0.29531524673892984</v>
      </c>
    </row>
    <row r="36" spans="1:91">
      <c r="A36" s="4">
        <f>'Input data'!A125</f>
        <v>2025</v>
      </c>
      <c r="B36" s="4"/>
      <c r="C36" s="769">
        <f>'4A SWD Case 1'!BG95</f>
        <v>673.61232751069451</v>
      </c>
      <c r="D36" s="3">
        <f>'4B Biological treatment '!T89</f>
        <v>0.72064481155876225</v>
      </c>
      <c r="E36" s="1157">
        <f>'4B Biological treatment '!U89</f>
        <v>32.429016520144295</v>
      </c>
      <c r="F36" s="1157">
        <f>'4B Biological treatment '!W89</f>
        <v>1.9457409912086576</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14145.858877724584</v>
      </c>
      <c r="M36" s="772">
        <f t="shared" si="70"/>
        <v>15.133541042734008</v>
      </c>
      <c r="N36" s="771">
        <f t="shared" si="71"/>
        <v>1284.1890541977141</v>
      </c>
      <c r="O36" s="773">
        <f t="shared" si="72"/>
        <v>260.89544660619578</v>
      </c>
      <c r="P36" s="771">
        <f t="shared" si="73"/>
        <v>4322.9017903124422</v>
      </c>
      <c r="Q36" s="519">
        <f t="shared" si="74"/>
        <v>14145.858877724584</v>
      </c>
      <c r="R36" s="521">
        <f t="shared" si="75"/>
        <v>1299.322595240448</v>
      </c>
      <c r="S36" s="518">
        <f t="shared" si="76"/>
        <v>260.89544660619578</v>
      </c>
      <c r="T36" s="519">
        <f t="shared" si="77"/>
        <v>4322.9017903124422</v>
      </c>
      <c r="U36" s="519">
        <f t="shared" si="78"/>
        <v>20028.978709883668</v>
      </c>
      <c r="V36" s="3"/>
      <c r="W36" s="596">
        <f t="shared" si="79"/>
        <v>2026</v>
      </c>
      <c r="X36" s="1101">
        <f t="shared" si="80"/>
        <v>13681.682208702525</v>
      </c>
      <c r="Y36" s="1102">
        <f t="shared" si="81"/>
        <v>1361.9010746199071</v>
      </c>
      <c r="Z36" s="1102">
        <f t="shared" si="82"/>
        <v>254.421083403664</v>
      </c>
      <c r="AA36" s="1102">
        <f t="shared" si="83"/>
        <v>4400.9219620497197</v>
      </c>
      <c r="AB36" s="1142">
        <f t="shared" si="22"/>
        <v>19698.926328775815</v>
      </c>
      <c r="AC36" s="1423" t="str">
        <f>IF(OR('Recycling - Case 1'!AC106="No",'Recycling - Case 1'!T146="No"), "No", "Yes")</f>
        <v>No</v>
      </c>
      <c r="AD36" s="1101">
        <f t="shared" si="84"/>
        <v>13681.682208702525</v>
      </c>
      <c r="AE36" s="1102">
        <f t="shared" si="85"/>
        <v>1361.9010746199071</v>
      </c>
      <c r="AF36" s="1102">
        <f t="shared" si="86"/>
        <v>254.421083403664</v>
      </c>
      <c r="AG36" s="1102">
        <f t="shared" si="87"/>
        <v>4400.9219620497197</v>
      </c>
      <c r="AH36" s="1142">
        <f t="shared" si="60"/>
        <v>19698.926328775815</v>
      </c>
      <c r="AI36" s="1423" t="str">
        <f>IF(OR('Recycling - Case 1'!AI17="No",'Recycling - Case 1'!Z146="No"), "No", "Yes")</f>
        <v>Yes</v>
      </c>
      <c r="AJ36" s="1101">
        <f t="shared" si="88"/>
        <v>13251.693920662827</v>
      </c>
      <c r="AK36" s="1102">
        <f t="shared" si="89"/>
        <v>1416.5017198515443</v>
      </c>
      <c r="AL36" s="1102">
        <f t="shared" si="90"/>
        <v>180.70037146955198</v>
      </c>
      <c r="AM36" s="1102">
        <f t="shared" si="91"/>
        <v>4891.8365725125823</v>
      </c>
      <c r="AN36" s="1142">
        <f t="shared" si="92"/>
        <v>19740.732584496505</v>
      </c>
      <c r="AO36" s="1416" t="str">
        <f>IF(OR('Recycling - Case 2'!AC106="No",'Recycling - Case 2'!T146="No"), "No", "Yes")</f>
        <v>No</v>
      </c>
      <c r="AP36" s="1101">
        <f t="shared" si="93"/>
        <v>13251.693920662827</v>
      </c>
      <c r="AQ36" s="1102">
        <f t="shared" si="94"/>
        <v>1416.5017198515443</v>
      </c>
      <c r="AR36" s="1102">
        <f t="shared" si="95"/>
        <v>180.70037146955198</v>
      </c>
      <c r="AS36" s="1102">
        <f t="shared" si="96"/>
        <v>4891.8365725125823</v>
      </c>
      <c r="AT36" s="1142">
        <f t="shared" si="37"/>
        <v>19740.732584496505</v>
      </c>
      <c r="AU36" s="1423" t="str">
        <f>IF(OR('Recycling - Case 2'!AC106="No",'Recycling - Case 2'!T186="No"), "No", "Yes")</f>
        <v>No</v>
      </c>
      <c r="AV36" s="1101">
        <f t="shared" si="63"/>
        <v>13251.948822499551</v>
      </c>
      <c r="AW36" s="1102">
        <f t="shared" si="64"/>
        <v>860.27142719769324</v>
      </c>
      <c r="AX36" s="1102">
        <f t="shared" si="65"/>
        <v>180.70037146955198</v>
      </c>
      <c r="AY36" s="1102">
        <f t="shared" si="66"/>
        <v>4891.8365725125823</v>
      </c>
      <c r="AZ36" s="1142">
        <f t="shared" si="67"/>
        <v>19184.757193679376</v>
      </c>
      <c r="BA36" s="1423" t="str">
        <f>IF(OR('Recycling - Case 3'!AC106="No",'Recycling - Case 3'!T146="No"), "No", "Yes")</f>
        <v>No</v>
      </c>
      <c r="BB36" s="1101">
        <f t="shared" si="97"/>
        <v>13251.948822499551</v>
      </c>
      <c r="BC36" s="1102">
        <f t="shared" si="98"/>
        <v>860.27142719769324</v>
      </c>
      <c r="BD36" s="1102">
        <f t="shared" si="99"/>
        <v>180.70037146955198</v>
      </c>
      <c r="BE36" s="1102">
        <f t="shared" si="100"/>
        <v>4891.8365725125823</v>
      </c>
      <c r="BF36" s="1142">
        <f t="shared" si="47"/>
        <v>19184.757193679376</v>
      </c>
      <c r="BG36" s="1423" t="str">
        <f>IF(OR('Recycling - Case 3'!AC106="No",'Recycling - Case 3'!T186="No"), "No", "Yes")</f>
        <v>No</v>
      </c>
      <c r="BH36" s="596">
        <f t="shared" si="48"/>
        <v>2026</v>
      </c>
      <c r="BI36" s="1102">
        <f>'Recycling - Case 1'!BV106</f>
        <v>98.738945012830243</v>
      </c>
      <c r="BJ36" s="417">
        <f>'Recycling - Case 1'!BW106</f>
        <v>0.48955881084104291</v>
      </c>
      <c r="BK36" s="1142">
        <f>'Recycling - Case 1'!BX106</f>
        <v>50.537069535396682</v>
      </c>
      <c r="BL36" s="1101">
        <f>'Recycling - Case 1'!BY106</f>
        <v>98.738945012830243</v>
      </c>
      <c r="BM36" s="417">
        <f>'Recycling - Case 1'!BZ106</f>
        <v>0.48955881084104291</v>
      </c>
      <c r="BN36" s="1142">
        <f>'Recycling - Case 1'!CA106</f>
        <v>50.537069535396682</v>
      </c>
      <c r="BO36" s="1102">
        <f>'Recycling - Case 2'!BV106</f>
        <v>96.808053509580205</v>
      </c>
      <c r="BP36" s="417">
        <f>'Recycling - Case 2'!BW106</f>
        <v>0.58867201562867277</v>
      </c>
      <c r="BQ36" s="1142">
        <f>'Recycling - Case 2'!BX106</f>
        <v>50.537069535396682</v>
      </c>
      <c r="BR36" s="1101">
        <f>'Recycling - Case 2'!BY106</f>
        <v>96.808053509580205</v>
      </c>
      <c r="BS36" s="417">
        <f>'Recycling - Case 2'!BZ106</f>
        <v>0.58867201562867277</v>
      </c>
      <c r="BT36" s="1142">
        <f>'Recycling - Case 2'!CA106</f>
        <v>50.537069535396682</v>
      </c>
      <c r="BU36" s="1102">
        <f>'Recycling - Case 3'!BV106</f>
        <v>96.808053509580205</v>
      </c>
      <c r="BV36" s="417">
        <f>'Recycling - Case 3'!BW106</f>
        <v>0.58867201562867277</v>
      </c>
      <c r="BW36" s="1142">
        <f>'Recycling - Case 3'!BX106</f>
        <v>50.537069535396682</v>
      </c>
      <c r="BX36" s="1101">
        <f>'Recycling - Case 3'!BY106</f>
        <v>96.808053509580205</v>
      </c>
      <c r="BY36" s="417">
        <f>'Recycling - Case 3'!BZ106</f>
        <v>0.58867201562867277</v>
      </c>
      <c r="BZ36" s="1142">
        <f>'Recycling - Case 3'!CA106</f>
        <v>50.537069535396682</v>
      </c>
      <c r="CA36" s="596">
        <v>2026</v>
      </c>
      <c r="CB36" s="649">
        <f>'Recycling - Case 1'!CB106</f>
        <v>0.15588583154405877</v>
      </c>
      <c r="CC36" s="417">
        <f>'Recycling - Case 1'!CC106</f>
        <v>0.30094561842312217</v>
      </c>
      <c r="CD36" s="417">
        <f>'Recycling - Case 1'!CD106</f>
        <v>0.15588583154405877</v>
      </c>
      <c r="CE36" s="525">
        <f>'Recycling - Case 1'!CE106</f>
        <v>0.30094561842312217</v>
      </c>
      <c r="CF36" s="649">
        <f>'Recycling - Case 2'!CB106</f>
        <v>0.23044140465623386</v>
      </c>
      <c r="CG36" s="417">
        <f>'Recycling - Case 2'!CC106</f>
        <v>0.30025423701033693</v>
      </c>
      <c r="CH36" s="417">
        <f>'Recycling - Case 2'!CD106</f>
        <v>0.23044140465623386</v>
      </c>
      <c r="CI36" s="525">
        <f>'Recycling - Case 2'!CE106</f>
        <v>0.30025423701033693</v>
      </c>
      <c r="CJ36" s="649">
        <f>'Recycling - Case 3'!CB106</f>
        <v>0.23044140465623386</v>
      </c>
      <c r="CK36" s="417">
        <f>'Recycling - Case 3'!CC106</f>
        <v>0.30025423701033693</v>
      </c>
      <c r="CL36" s="417">
        <f>'Recycling - Case 3'!CD106</f>
        <v>0.23044140465623386</v>
      </c>
      <c r="CM36" s="525">
        <f>'Recycling - Case 3'!CE106</f>
        <v>0.30025423701033693</v>
      </c>
    </row>
    <row r="37" spans="1:91">
      <c r="A37" s="4">
        <f>'Input data'!A126</f>
        <v>2026</v>
      </c>
      <c r="B37" s="4"/>
      <c r="C37" s="769">
        <f>'4A SWD Case 1'!BG96</f>
        <v>651.50867660488211</v>
      </c>
      <c r="D37" s="3">
        <f>'4B Biological treatment '!T90</f>
        <v>0.75535278681081941</v>
      </c>
      <c r="E37" s="1157">
        <f>'4B Biological treatment '!U90</f>
        <v>33.990875406486872</v>
      </c>
      <c r="F37" s="1157">
        <f>'4B Biological treatment '!W90</f>
        <v>2.0394525243892119</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13681.682208702525</v>
      </c>
      <c r="M37" s="772">
        <f t="shared" si="70"/>
        <v>15.862408523027208</v>
      </c>
      <c r="N37" s="771">
        <f t="shared" si="71"/>
        <v>1346.03866609688</v>
      </c>
      <c r="O37" s="773">
        <f t="shared" si="72"/>
        <v>254.421083403664</v>
      </c>
      <c r="P37" s="771">
        <f t="shared" si="73"/>
        <v>4400.9219620497197</v>
      </c>
      <c r="Q37" s="519">
        <f t="shared" si="74"/>
        <v>13681.682208702525</v>
      </c>
      <c r="R37" s="521">
        <f t="shared" si="75"/>
        <v>1361.9010746199071</v>
      </c>
      <c r="S37" s="518">
        <f t="shared" si="76"/>
        <v>254.421083403664</v>
      </c>
      <c r="T37" s="519">
        <f t="shared" si="77"/>
        <v>4400.9219620497197</v>
      </c>
      <c r="U37" s="519">
        <f t="shared" si="78"/>
        <v>19698.926328775815</v>
      </c>
      <c r="V37" s="3"/>
      <c r="W37" s="596">
        <f t="shared" si="79"/>
        <v>2027</v>
      </c>
      <c r="X37" s="1101">
        <f t="shared" si="80"/>
        <v>13227.797735419499</v>
      </c>
      <c r="Y37" s="1102">
        <f t="shared" si="81"/>
        <v>1424.2252603036306</v>
      </c>
      <c r="Z37" s="1102">
        <f t="shared" si="82"/>
        <v>248.16184383159901</v>
      </c>
      <c r="AA37" s="1102">
        <f t="shared" si="83"/>
        <v>4480.0594606132472</v>
      </c>
      <c r="AB37" s="1142">
        <f t="shared" si="22"/>
        <v>19380.244300167975</v>
      </c>
      <c r="AC37" s="1423" t="str">
        <f>IF(OR('Recycling - Case 1'!AC107="No",'Recycling - Case 1'!T147="No"), "No", "Yes")</f>
        <v>No</v>
      </c>
      <c r="AD37" s="1101">
        <f t="shared" si="84"/>
        <v>13227.797735419499</v>
      </c>
      <c r="AE37" s="1102">
        <f t="shared" si="85"/>
        <v>1424.2252603036306</v>
      </c>
      <c r="AF37" s="1102">
        <f t="shared" si="86"/>
        <v>248.16184383159901</v>
      </c>
      <c r="AG37" s="1102">
        <f t="shared" si="87"/>
        <v>4480.0594606132472</v>
      </c>
      <c r="AH37" s="1142">
        <f t="shared" si="60"/>
        <v>19380.244300167975</v>
      </c>
      <c r="AI37" s="1423" t="str">
        <f>IF(OR('Recycling - Case 1'!AI18="No",'Recycling - Case 1'!Z147="No"), "No", "Yes")</f>
        <v>Yes</v>
      </c>
      <c r="AJ37" s="1101">
        <f t="shared" si="88"/>
        <v>12756.698370639615</v>
      </c>
      <c r="AK37" s="1102">
        <f t="shared" si="89"/>
        <v>1424.2252603036306</v>
      </c>
      <c r="AL37" s="1102">
        <f t="shared" si="90"/>
        <v>168.10228643963038</v>
      </c>
      <c r="AM37" s="1102">
        <f t="shared" si="91"/>
        <v>5030.8909891052281</v>
      </c>
      <c r="AN37" s="1142">
        <f t="shared" si="92"/>
        <v>19379.916906488106</v>
      </c>
      <c r="AO37" s="1416" t="str">
        <f>IF(OR('Recycling - Case 2'!AC107="No",'Recycling - Case 2'!T147="No"), "No", "Yes")</f>
        <v>No</v>
      </c>
      <c r="AP37" s="1101">
        <f t="shared" si="93"/>
        <v>12756.698370639615</v>
      </c>
      <c r="AQ37" s="1102">
        <f t="shared" si="94"/>
        <v>1424.2252603036306</v>
      </c>
      <c r="AR37" s="1102">
        <f t="shared" si="95"/>
        <v>168.10228643963038</v>
      </c>
      <c r="AS37" s="1102">
        <f t="shared" si="96"/>
        <v>5030.8909891052281</v>
      </c>
      <c r="AT37" s="1142">
        <f t="shared" si="37"/>
        <v>19379.916906488106</v>
      </c>
      <c r="AU37" s="1423" t="str">
        <f>IF(OR('Recycling - Case 2'!AC107="No",'Recycling - Case 2'!T187="No"), "No", "Yes")</f>
        <v>No</v>
      </c>
      <c r="AV37" s="1101">
        <f t="shared" si="63"/>
        <v>12757.013753824194</v>
      </c>
      <c r="AW37" s="1102">
        <f t="shared" si="64"/>
        <v>864.9620965238355</v>
      </c>
      <c r="AX37" s="1102">
        <f t="shared" si="65"/>
        <v>168.10228643963038</v>
      </c>
      <c r="AY37" s="1102">
        <f t="shared" si="66"/>
        <v>5030.8909891052281</v>
      </c>
      <c r="AZ37" s="1142">
        <f t="shared" si="67"/>
        <v>18820.969125892887</v>
      </c>
      <c r="BA37" s="1423" t="str">
        <f>IF(OR('Recycling - Case 3'!AC107="No",'Recycling - Case 3'!T147="No"), "No", "Yes")</f>
        <v>No</v>
      </c>
      <c r="BB37" s="1101">
        <f t="shared" si="97"/>
        <v>12757.013753824194</v>
      </c>
      <c r="BC37" s="1102">
        <f t="shared" si="98"/>
        <v>864.9620965238355</v>
      </c>
      <c r="BD37" s="1102">
        <f t="shared" si="99"/>
        <v>168.10228643963038</v>
      </c>
      <c r="BE37" s="1102">
        <f t="shared" si="100"/>
        <v>5030.8909891052281</v>
      </c>
      <c r="BF37" s="1142">
        <f t="shared" si="47"/>
        <v>18820.969125892887</v>
      </c>
      <c r="BG37" s="1423" t="str">
        <f>IF(OR('Recycling - Case 3'!AC107="No",'Recycling - Case 3'!T187="No"), "No", "Yes")</f>
        <v>No</v>
      </c>
      <c r="BH37" s="596">
        <f t="shared" si="48"/>
        <v>2027</v>
      </c>
      <c r="BI37" s="1102">
        <f>'Recycling - Case 1'!BV107</f>
        <v>98.072260249721623</v>
      </c>
      <c r="BJ37" s="417">
        <f>'Recycling - Case 1'!BW107</f>
        <v>0.50698609212610946</v>
      </c>
      <c r="BK37" s="1142">
        <f>'Recycling - Case 1'!BX107</f>
        <v>49.329037288601171</v>
      </c>
      <c r="BL37" s="1101">
        <f>'Recycling - Case 1'!BY107</f>
        <v>98.072260249721623</v>
      </c>
      <c r="BM37" s="417">
        <f>'Recycling - Case 1'!BZ107</f>
        <v>0.50698609212610946</v>
      </c>
      <c r="BN37" s="1142">
        <f>'Recycling - Case 1'!CA107</f>
        <v>49.329037288601171</v>
      </c>
      <c r="BO37" s="1102">
        <f>'Recycling - Case 2'!BV107</f>
        <v>95.853717946039325</v>
      </c>
      <c r="BP37" s="417">
        <f>'Recycling - Case 2'!BW107</f>
        <v>0.61033700648771894</v>
      </c>
      <c r="BQ37" s="1142">
        <f>'Recycling - Case 2'!BX107</f>
        <v>49.329037288601171</v>
      </c>
      <c r="BR37" s="1101">
        <f>'Recycling - Case 2'!BY107</f>
        <v>95.853717946039325</v>
      </c>
      <c r="BS37" s="417">
        <f>'Recycling - Case 2'!BZ107</f>
        <v>0.61033700648771894</v>
      </c>
      <c r="BT37" s="1142">
        <f>'Recycling - Case 2'!CA107</f>
        <v>49.329037288601171</v>
      </c>
      <c r="BU37" s="1102">
        <f>'Recycling - Case 3'!BV107</f>
        <v>95.853717946039325</v>
      </c>
      <c r="BV37" s="417">
        <f>'Recycling - Case 3'!BW107</f>
        <v>0.61033700648771894</v>
      </c>
      <c r="BW37" s="1142">
        <f>'Recycling - Case 3'!BX107</f>
        <v>49.329037288601171</v>
      </c>
      <c r="BX37" s="1101">
        <f>'Recycling - Case 3'!BY107</f>
        <v>95.853717946039325</v>
      </c>
      <c r="BY37" s="417">
        <f>'Recycling - Case 3'!BZ107</f>
        <v>0.61033700648771894</v>
      </c>
      <c r="BZ37" s="1142">
        <f>'Recycling - Case 3'!CA107</f>
        <v>49.329037288601171</v>
      </c>
      <c r="CA37" s="596">
        <v>2027</v>
      </c>
      <c r="CB37" s="649">
        <f>'Recycling - Case 1'!CB107</f>
        <v>0.16554621920854717</v>
      </c>
      <c r="CC37" s="417">
        <f>'Recycling - Case 1'!CC107</f>
        <v>0.3065711826671903</v>
      </c>
      <c r="CD37" s="417">
        <f>'Recycling - Case 1'!CD107</f>
        <v>0.16554621920854717</v>
      </c>
      <c r="CE37" s="525">
        <f>'Recycling - Case 1'!CE107</f>
        <v>0.3065711826671903</v>
      </c>
      <c r="CF37" s="649">
        <f>'Recycling - Case 2'!CB107</f>
        <v>0.24719384179753368</v>
      </c>
      <c r="CG37" s="417">
        <f>'Recycling - Case 2'!CC107</f>
        <v>0.3065711826671903</v>
      </c>
      <c r="CH37" s="417">
        <f>'Recycling - Case 2'!CD107</f>
        <v>0.24719384179753368</v>
      </c>
      <c r="CI37" s="525">
        <f>'Recycling - Case 2'!CE107</f>
        <v>0.3065711826671903</v>
      </c>
      <c r="CJ37" s="649">
        <f>'Recycling - Case 3'!CB107</f>
        <v>0.24719384179753368</v>
      </c>
      <c r="CK37" s="417">
        <f>'Recycling - Case 3'!CC107</f>
        <v>0.3065711826671903</v>
      </c>
      <c r="CL37" s="417">
        <f>'Recycling - Case 3'!CD107</f>
        <v>0.24719384179753368</v>
      </c>
      <c r="CM37" s="525">
        <f>'Recycling - Case 3'!CE107</f>
        <v>0.3065711826671903</v>
      </c>
    </row>
    <row r="38" spans="1:91">
      <c r="A38" s="4">
        <f>'Input data'!A127</f>
        <v>2027</v>
      </c>
      <c r="B38" s="4"/>
      <c r="C38" s="769">
        <f>'4A SWD Case 1'!BG97</f>
        <v>629.89513025807139</v>
      </c>
      <c r="D38" s="3">
        <f>'4B Biological treatment '!T91</f>
        <v>0.78991972285281786</v>
      </c>
      <c r="E38" s="1157">
        <f>'4B Biological treatment '!U91</f>
        <v>35.546387528376798</v>
      </c>
      <c r="F38" s="1157">
        <f>'4B Biological treatment '!W91</f>
        <v>2.132783251702608</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13227.797735419499</v>
      </c>
      <c r="M38" s="772">
        <f t="shared" si="70"/>
        <v>16.588314179909176</v>
      </c>
      <c r="N38" s="771">
        <f t="shared" si="71"/>
        <v>1407.6369461237214</v>
      </c>
      <c r="O38" s="773">
        <f t="shared" si="72"/>
        <v>248.16184383159901</v>
      </c>
      <c r="P38" s="771">
        <f t="shared" si="73"/>
        <v>4480.0594606132472</v>
      </c>
      <c r="Q38" s="519">
        <f t="shared" si="74"/>
        <v>13227.797735419499</v>
      </c>
      <c r="R38" s="521">
        <f t="shared" si="75"/>
        <v>1424.2252603036306</v>
      </c>
      <c r="S38" s="518">
        <f t="shared" si="76"/>
        <v>248.16184383159901</v>
      </c>
      <c r="T38" s="519">
        <f t="shared" si="77"/>
        <v>4480.0594606132472</v>
      </c>
      <c r="U38" s="519">
        <f t="shared" si="78"/>
        <v>19380.244300167975</v>
      </c>
      <c r="V38" s="3"/>
      <c r="W38" s="596">
        <f t="shared" si="79"/>
        <v>2028</v>
      </c>
      <c r="X38" s="1101">
        <f t="shared" si="80"/>
        <v>12784.192932173115</v>
      </c>
      <c r="Y38" s="1102">
        <f t="shared" si="81"/>
        <v>1431.5467349402697</v>
      </c>
      <c r="Z38" s="1102">
        <f t="shared" si="82"/>
        <v>234.55354113759998</v>
      </c>
      <c r="AA38" s="1102">
        <f t="shared" si="83"/>
        <v>4560.3287251503234</v>
      </c>
      <c r="AB38" s="1142">
        <f t="shared" si="22"/>
        <v>19010.621933401308</v>
      </c>
      <c r="AC38" s="1423" t="str">
        <f>IF(OR('Recycling - Case 1'!AC108="No",'Recycling - Case 1'!T148="No"), "No", "Yes")</f>
        <v>No</v>
      </c>
      <c r="AD38" s="1101">
        <f t="shared" si="84"/>
        <v>12784.192932173115</v>
      </c>
      <c r="AE38" s="1102">
        <f t="shared" si="85"/>
        <v>1431.5467349402697</v>
      </c>
      <c r="AF38" s="1102">
        <f t="shared" si="86"/>
        <v>234.55354113759998</v>
      </c>
      <c r="AG38" s="1102">
        <f t="shared" si="87"/>
        <v>4560.3287251503234</v>
      </c>
      <c r="AH38" s="1142">
        <f t="shared" si="60"/>
        <v>19010.621933401308</v>
      </c>
      <c r="AI38" s="1423" t="str">
        <f>IF(OR('Recycling - Case 1'!AI19="No",'Recycling - Case 1'!Z148="No"), "No", "Yes")</f>
        <v>Yes</v>
      </c>
      <c r="AJ38" s="1101">
        <f t="shared" si="88"/>
        <v>12278.864879322158</v>
      </c>
      <c r="AK38" s="1102">
        <f t="shared" si="89"/>
        <v>1431.5467349402697</v>
      </c>
      <c r="AL38" s="1102">
        <f t="shared" si="90"/>
        <v>155.25457728774188</v>
      </c>
      <c r="AM38" s="1102">
        <f t="shared" si="91"/>
        <v>5172.2095138882814</v>
      </c>
      <c r="AN38" s="1142">
        <f t="shared" si="92"/>
        <v>19037.875705438451</v>
      </c>
      <c r="AO38" s="1416" t="str">
        <f>IF(OR('Recycling - Case 2'!AC108="No",'Recycling - Case 2'!T148="No"), "No", "Yes")</f>
        <v>No</v>
      </c>
      <c r="AP38" s="1101">
        <f t="shared" si="93"/>
        <v>12278.864879322158</v>
      </c>
      <c r="AQ38" s="1102">
        <f t="shared" si="94"/>
        <v>1431.5467349402697</v>
      </c>
      <c r="AR38" s="1102">
        <f t="shared" si="95"/>
        <v>155.25457728774188</v>
      </c>
      <c r="AS38" s="1102">
        <f t="shared" si="96"/>
        <v>5172.2095138882814</v>
      </c>
      <c r="AT38" s="1142">
        <f t="shared" si="37"/>
        <v>19037.875705438451</v>
      </c>
      <c r="AU38" s="1423" t="str">
        <f>IF(OR('Recycling - Case 2'!AC108="No",'Recycling - Case 2'!T188="No"), "No", "Yes")</f>
        <v>No</v>
      </c>
      <c r="AV38" s="1101">
        <f t="shared" si="63"/>
        <v>12279.246415314936</v>
      </c>
      <c r="AW38" s="1102">
        <f t="shared" si="64"/>
        <v>869.40858278402402</v>
      </c>
      <c r="AX38" s="1102">
        <f t="shared" si="65"/>
        <v>155.25457728774188</v>
      </c>
      <c r="AY38" s="1102">
        <f t="shared" si="66"/>
        <v>5172.2095138882814</v>
      </c>
      <c r="AZ38" s="1142">
        <f t="shared" si="67"/>
        <v>18476.119089274984</v>
      </c>
      <c r="BA38" s="1423" t="str">
        <f>IF(OR('Recycling - Case 3'!AC108="No",'Recycling - Case 3'!T148="No"), "No", "Yes")</f>
        <v>No</v>
      </c>
      <c r="BB38" s="1101">
        <f t="shared" si="97"/>
        <v>12279.246415314936</v>
      </c>
      <c r="BC38" s="1102">
        <f t="shared" si="98"/>
        <v>869.40858278402402</v>
      </c>
      <c r="BD38" s="1102">
        <f t="shared" si="99"/>
        <v>155.25457728774188</v>
      </c>
      <c r="BE38" s="1102">
        <f t="shared" si="100"/>
        <v>5172.2095138882814</v>
      </c>
      <c r="BF38" s="1142">
        <f t="shared" si="47"/>
        <v>18476.119089274984</v>
      </c>
      <c r="BG38" s="1423" t="str">
        <f>IF(OR('Recycling - Case 3'!AC108="No",'Recycling - Case 3'!T188="No"), "No", "Yes")</f>
        <v>No</v>
      </c>
      <c r="BH38" s="596">
        <f t="shared" si="48"/>
        <v>2028</v>
      </c>
      <c r="BI38" s="1102">
        <f>'Recycling - Case 1'!BV108</f>
        <v>97.361261211668534</v>
      </c>
      <c r="BJ38" s="417">
        <f>'Recycling - Case 1'!BW108</f>
        <v>0.52104633574371406</v>
      </c>
      <c r="BK38" s="1142">
        <f>'Recycling - Case 1'!BX108</f>
        <v>48.528826860263919</v>
      </c>
      <c r="BL38" s="1101">
        <f>'Recycling - Case 1'!BY108</f>
        <v>97.361261211668534</v>
      </c>
      <c r="BM38" s="417">
        <f>'Recycling - Case 1'!BZ108</f>
        <v>0.52104633574371406</v>
      </c>
      <c r="BN38" s="1142">
        <f>'Recycling - Case 1'!CA108</f>
        <v>48.528826860263919</v>
      </c>
      <c r="BO38" s="1102">
        <f>'Recycling - Case 2'!BV108</f>
        <v>95.28172157958501</v>
      </c>
      <c r="BP38" s="417">
        <f>'Recycling - Case 2'!BW108</f>
        <v>0.63046152845473658</v>
      </c>
      <c r="BQ38" s="1142">
        <f>'Recycling - Case 2'!BX108</f>
        <v>48.528826860263919</v>
      </c>
      <c r="BR38" s="1101">
        <f>'Recycling - Case 2'!BY108</f>
        <v>95.28172157958501</v>
      </c>
      <c r="BS38" s="417">
        <f>'Recycling - Case 2'!BZ108</f>
        <v>0.63046152845473658</v>
      </c>
      <c r="BT38" s="1142">
        <f>'Recycling - Case 2'!CA108</f>
        <v>48.528826860263919</v>
      </c>
      <c r="BU38" s="1102">
        <f>'Recycling - Case 3'!BV108</f>
        <v>95.28172157958501</v>
      </c>
      <c r="BV38" s="417">
        <f>'Recycling - Case 3'!BW108</f>
        <v>0.63046152845473658</v>
      </c>
      <c r="BW38" s="1142">
        <f>'Recycling - Case 3'!BX108</f>
        <v>48.528826860263919</v>
      </c>
      <c r="BX38" s="1101">
        <f>'Recycling - Case 3'!BY108</f>
        <v>95.28172157958501</v>
      </c>
      <c r="BY38" s="417">
        <f>'Recycling - Case 3'!BZ108</f>
        <v>0.63046152845473658</v>
      </c>
      <c r="BZ38" s="1142">
        <f>'Recycling - Case 3'!CA108</f>
        <v>48.528826860263919</v>
      </c>
      <c r="CA38" s="596">
        <v>2028</v>
      </c>
      <c r="CB38" s="649">
        <f>'Recycling - Case 1'!CB108</f>
        <v>0.18787758011779954</v>
      </c>
      <c r="CC38" s="417">
        <f>'Recycling - Case 1'!CC108</f>
        <v>0.31157315481005166</v>
      </c>
      <c r="CD38" s="417">
        <f>'Recycling - Case 1'!CD108</f>
        <v>0.18787758011779954</v>
      </c>
      <c r="CE38" s="525">
        <f>'Recycling - Case 1'!CE108</f>
        <v>0.31157315481005166</v>
      </c>
      <c r="CF38" s="649">
        <f>'Recycling - Case 2'!CB108</f>
        <v>0.26366335378378059</v>
      </c>
      <c r="CG38" s="417">
        <f>'Recycling - Case 2'!CC108</f>
        <v>0.31157315481005166</v>
      </c>
      <c r="CH38" s="417">
        <f>'Recycling - Case 2'!CD108</f>
        <v>0.26366335378378059</v>
      </c>
      <c r="CI38" s="525">
        <f>'Recycling - Case 2'!CE108</f>
        <v>0.31157315481005166</v>
      </c>
      <c r="CJ38" s="649">
        <f>'Recycling - Case 3'!CB108</f>
        <v>0.26366335378378059</v>
      </c>
      <c r="CK38" s="417">
        <f>'Recycling - Case 3'!CC108</f>
        <v>0.31157315481005166</v>
      </c>
      <c r="CL38" s="417">
        <f>'Recycling - Case 3'!CD108</f>
        <v>0.26366335378378059</v>
      </c>
      <c r="CM38" s="525">
        <f>'Recycling - Case 3'!CE108</f>
        <v>0.31157315481005166</v>
      </c>
    </row>
    <row r="39" spans="1:91">
      <c r="A39" s="4">
        <f>'Input data'!A128</f>
        <v>2028</v>
      </c>
      <c r="B39" s="4"/>
      <c r="C39" s="769">
        <f>'4A SWD Case 1'!BG98</f>
        <v>608.77109200824361</v>
      </c>
      <c r="D39" s="3">
        <f>'4B Biological treatment '!T92</f>
        <v>0.79398044089865216</v>
      </c>
      <c r="E39" s="1157">
        <f>'4B Biological treatment '!U92</f>
        <v>35.729119840439346</v>
      </c>
      <c r="F39" s="1157">
        <f>'4B Biological treatment '!W92</f>
        <v>2.1437471904263607</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12784.192932173115</v>
      </c>
      <c r="M39" s="772">
        <f t="shared" si="70"/>
        <v>16.673589258871694</v>
      </c>
      <c r="N39" s="771">
        <f t="shared" si="71"/>
        <v>1414.873145681398</v>
      </c>
      <c r="O39" s="773">
        <f t="shared" si="72"/>
        <v>234.55354113759998</v>
      </c>
      <c r="P39" s="771">
        <f t="shared" si="73"/>
        <v>4560.3287251503234</v>
      </c>
      <c r="Q39" s="519">
        <f t="shared" si="74"/>
        <v>12784.192932173115</v>
      </c>
      <c r="R39" s="521">
        <f t="shared" si="75"/>
        <v>1431.5467349402697</v>
      </c>
      <c r="S39" s="518">
        <f t="shared" si="76"/>
        <v>234.55354113759998</v>
      </c>
      <c r="T39" s="519">
        <f t="shared" si="77"/>
        <v>4560.3287251503234</v>
      </c>
      <c r="U39" s="519">
        <f t="shared" si="78"/>
        <v>19010.621933401308</v>
      </c>
      <c r="V39" s="3"/>
      <c r="W39" s="596">
        <f t="shared" si="79"/>
        <v>2029</v>
      </c>
      <c r="X39" s="1101">
        <f t="shared" si="80"/>
        <v>12355.181563381011</v>
      </c>
      <c r="Y39" s="1102">
        <f t="shared" si="81"/>
        <v>1440.6605602700872</v>
      </c>
      <c r="Z39" s="1102">
        <f t="shared" si="82"/>
        <v>221.70018656133303</v>
      </c>
      <c r="AA39" s="1102">
        <f t="shared" si="83"/>
        <v>4641.7443708292039</v>
      </c>
      <c r="AB39" s="1142">
        <f t="shared" si="22"/>
        <v>18659.286681041634</v>
      </c>
      <c r="AC39" s="1423" t="str">
        <f>IF(OR('Recycling - Case 1'!AC109="No",'Recycling - Case 1'!T149="No"), "No", "Yes")</f>
        <v>No</v>
      </c>
      <c r="AD39" s="1101">
        <f t="shared" si="84"/>
        <v>12355.181563381011</v>
      </c>
      <c r="AE39" s="1102">
        <f t="shared" si="85"/>
        <v>1440.6605602700872</v>
      </c>
      <c r="AF39" s="1102">
        <f t="shared" si="86"/>
        <v>221.70018656133303</v>
      </c>
      <c r="AG39" s="1102">
        <f t="shared" si="87"/>
        <v>4641.7443708292039</v>
      </c>
      <c r="AH39" s="1142">
        <f t="shared" si="60"/>
        <v>18659.286681041634</v>
      </c>
      <c r="AI39" s="1423" t="str">
        <f>IF(OR('Recycling - Case 1'!AI20="No",'Recycling - Case 1'!Z149="No"), "No", "Yes")</f>
        <v>Yes</v>
      </c>
      <c r="AJ39" s="1101">
        <f t="shared" si="88"/>
        <v>11816.774174360922</v>
      </c>
      <c r="AK39" s="1102">
        <f t="shared" si="89"/>
        <v>1440.6605602700872</v>
      </c>
      <c r="AL39" s="1102">
        <f t="shared" si="90"/>
        <v>142.1481547216269</v>
      </c>
      <c r="AM39" s="1102">
        <f t="shared" si="91"/>
        <v>5315.8232520302154</v>
      </c>
      <c r="AN39" s="1142">
        <f t="shared" si="92"/>
        <v>18715.406141382853</v>
      </c>
      <c r="AO39" s="1416" t="str">
        <f>IF(OR('Recycling - Case 2'!AC109="No",'Recycling - Case 2'!T149="No"), "No", "Yes")</f>
        <v>No</v>
      </c>
      <c r="AP39" s="1101">
        <f t="shared" si="93"/>
        <v>11816.774174360922</v>
      </c>
      <c r="AQ39" s="1102">
        <f t="shared" si="94"/>
        <v>1440.6605602700872</v>
      </c>
      <c r="AR39" s="1102">
        <f t="shared" si="95"/>
        <v>142.1481547216269</v>
      </c>
      <c r="AS39" s="1102">
        <f t="shared" si="96"/>
        <v>5315.8232520302154</v>
      </c>
      <c r="AT39" s="1142">
        <f t="shared" si="37"/>
        <v>18715.406141382853</v>
      </c>
      <c r="AU39" s="1423" t="str">
        <f>IF(OR('Recycling - Case 2'!AC109="No",'Recycling - Case 2'!T189="No"), "No", "Yes")</f>
        <v>No</v>
      </c>
      <c r="AV39" s="1101">
        <f t="shared" si="63"/>
        <v>11817.227378088099</v>
      </c>
      <c r="AW39" s="1102">
        <f t="shared" si="64"/>
        <v>874.94360149514443</v>
      </c>
      <c r="AX39" s="1102">
        <f t="shared" si="65"/>
        <v>142.1481547216269</v>
      </c>
      <c r="AY39" s="1102">
        <f t="shared" si="66"/>
        <v>5315.8232520302154</v>
      </c>
      <c r="AZ39" s="1142">
        <f t="shared" si="67"/>
        <v>18150.142386335086</v>
      </c>
      <c r="BA39" s="1423" t="str">
        <f>IF(OR('Recycling - Case 3'!AC109="No",'Recycling - Case 3'!T149="No"), "No", "Yes")</f>
        <v>No</v>
      </c>
      <c r="BB39" s="1101">
        <f t="shared" si="97"/>
        <v>11817.227378088099</v>
      </c>
      <c r="BC39" s="1102">
        <f t="shared" si="98"/>
        <v>874.94360149514443</v>
      </c>
      <c r="BD39" s="1102">
        <f t="shared" si="99"/>
        <v>142.1481547216269</v>
      </c>
      <c r="BE39" s="1102">
        <f t="shared" si="100"/>
        <v>5315.8232520302154</v>
      </c>
      <c r="BF39" s="1142">
        <f t="shared" si="47"/>
        <v>18150.142386335086</v>
      </c>
      <c r="BG39" s="1423" t="str">
        <f>IF(OR('Recycling - Case 3'!AC109="No",'Recycling - Case 3'!T189="No"), "No", "Yes")</f>
        <v>No</v>
      </c>
      <c r="BH39" s="596">
        <f t="shared" si="48"/>
        <v>2029</v>
      </c>
      <c r="BI39" s="1102">
        <f>'Recycling - Case 1'!BV109</f>
        <v>96.029142723626322</v>
      </c>
      <c r="BJ39" s="417">
        <f>'Recycling - Case 1'!BW109</f>
        <v>0.53906366138175554</v>
      </c>
      <c r="BK39" s="1142">
        <f>'Recycling - Case 1'!BX109</f>
        <v>46.965110037548421</v>
      </c>
      <c r="BL39" s="1101">
        <f>'Recycling - Case 1'!BY109</f>
        <v>96.029142723626322</v>
      </c>
      <c r="BM39" s="417">
        <f>'Recycling - Case 1'!BZ109</f>
        <v>0.53906366138175554</v>
      </c>
      <c r="BN39" s="1142">
        <f>'Recycling - Case 1'!CA109</f>
        <v>46.965110037548421</v>
      </c>
      <c r="BO39" s="1102">
        <f>'Recycling - Case 2'!BV109</f>
        <v>94.064178658545941</v>
      </c>
      <c r="BP39" s="417">
        <f>'Recycling - Case 2'!BW109</f>
        <v>0.65307131403485075</v>
      </c>
      <c r="BQ39" s="1142">
        <f>'Recycling - Case 2'!BX109</f>
        <v>46.965110037548421</v>
      </c>
      <c r="BR39" s="1101">
        <f>'Recycling - Case 2'!BY109</f>
        <v>94.064178658545941</v>
      </c>
      <c r="BS39" s="417">
        <f>'Recycling - Case 2'!BZ109</f>
        <v>0.65307131403485075</v>
      </c>
      <c r="BT39" s="1142">
        <f>'Recycling - Case 2'!CA109</f>
        <v>46.965110037548421</v>
      </c>
      <c r="BU39" s="1102">
        <f>'Recycling - Case 3'!BV109</f>
        <v>94.064178658545941</v>
      </c>
      <c r="BV39" s="417">
        <f>'Recycling - Case 3'!BW109</f>
        <v>0.65307131403485075</v>
      </c>
      <c r="BW39" s="1142">
        <f>'Recycling - Case 3'!BX109</f>
        <v>46.965110037548421</v>
      </c>
      <c r="BX39" s="1101">
        <f>'Recycling - Case 3'!BY109</f>
        <v>94.064178658545941</v>
      </c>
      <c r="BY39" s="417">
        <f>'Recycling - Case 3'!BZ109</f>
        <v>0.65307131403485075</v>
      </c>
      <c r="BZ39" s="1142">
        <f>'Recycling - Case 3'!CA109</f>
        <v>46.965110037548421</v>
      </c>
      <c r="CA39" s="596">
        <v>2029</v>
      </c>
      <c r="CB39" s="649">
        <f>'Recycling - Case 1'!CB109</f>
        <v>0.20894363003364869</v>
      </c>
      <c r="CC39" s="417">
        <f>'Recycling - Case 1'!CC109</f>
        <v>0.31941476685457393</v>
      </c>
      <c r="CD39" s="417">
        <f>'Recycling - Case 1'!CD109</f>
        <v>0.20894363003364869</v>
      </c>
      <c r="CE39" s="525">
        <f>'Recycling - Case 1'!CE109</f>
        <v>0.31941476685457393</v>
      </c>
      <c r="CF39" s="649">
        <f>'Recycling - Case 2'!CB109</f>
        <v>0.27985563375052358</v>
      </c>
      <c r="CG39" s="417">
        <f>'Recycling - Case 2'!CC109</f>
        <v>0.31941476685457393</v>
      </c>
      <c r="CH39" s="417">
        <f>'Recycling - Case 2'!CD109</f>
        <v>0.27985563375052358</v>
      </c>
      <c r="CI39" s="525">
        <f>'Recycling - Case 2'!CE109</f>
        <v>0.31941476685457393</v>
      </c>
      <c r="CJ39" s="649">
        <f>'Recycling - Case 3'!CB109</f>
        <v>0.27985563375052358</v>
      </c>
      <c r="CK39" s="417">
        <f>'Recycling - Case 3'!CC109</f>
        <v>0.31941476685457393</v>
      </c>
      <c r="CL39" s="417">
        <f>'Recycling - Case 3'!CD109</f>
        <v>0.27985563375052358</v>
      </c>
      <c r="CM39" s="525">
        <f>'Recycling - Case 3'!CE109</f>
        <v>0.31941476685457393</v>
      </c>
    </row>
    <row r="40" spans="1:91">
      <c r="A40" s="4">
        <f>'Input data'!A129</f>
        <v>2029</v>
      </c>
      <c r="B40" s="4"/>
      <c r="C40" s="769">
        <f>'4A SWD Case 1'!BG99</f>
        <v>588.34197920861959</v>
      </c>
      <c r="D40" s="3">
        <f>'4B Biological treatment '!T93</f>
        <v>0.79903525250698149</v>
      </c>
      <c r="E40" s="1157">
        <f>'4B Biological treatment '!U93</f>
        <v>35.956586362814157</v>
      </c>
      <c r="F40" s="1157">
        <f>'4B Biological treatment '!W93</f>
        <v>2.1573951817688495</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12355.181563381011</v>
      </c>
      <c r="M40" s="772">
        <f t="shared" si="70"/>
        <v>16.779740302646612</v>
      </c>
      <c r="N40" s="771">
        <f t="shared" si="71"/>
        <v>1423.8808199674406</v>
      </c>
      <c r="O40" s="773">
        <f t="shared" si="72"/>
        <v>221.70018656133303</v>
      </c>
      <c r="P40" s="771">
        <f t="shared" si="73"/>
        <v>4641.7443708292039</v>
      </c>
      <c r="Q40" s="519">
        <f t="shared" si="74"/>
        <v>12355.181563381011</v>
      </c>
      <c r="R40" s="521">
        <f t="shared" si="75"/>
        <v>1440.6605602700872</v>
      </c>
      <c r="S40" s="518">
        <f t="shared" si="76"/>
        <v>221.70018656133303</v>
      </c>
      <c r="T40" s="519">
        <f t="shared" si="77"/>
        <v>4641.7443708292039</v>
      </c>
      <c r="U40" s="519">
        <f t="shared" si="78"/>
        <v>18659.286681041634</v>
      </c>
      <c r="V40" s="3"/>
      <c r="W40" s="596">
        <f t="shared" si="79"/>
        <v>2030</v>
      </c>
      <c r="X40" s="1101">
        <f t="shared" si="80"/>
        <v>11940.295157318465</v>
      </c>
      <c r="Y40" s="1102">
        <f t="shared" si="81"/>
        <v>1449.6847675388249</v>
      </c>
      <c r="Z40" s="1102">
        <f t="shared" si="82"/>
        <v>209.55929653855324</v>
      </c>
      <c r="AA40" s="1102">
        <f t="shared" si="83"/>
        <v>4724.3211909055435</v>
      </c>
      <c r="AB40" s="1142">
        <f t="shared" si="22"/>
        <v>18323.860412301387</v>
      </c>
      <c r="AC40" s="1423" t="str">
        <f>IF(OR('Recycling - Case 1'!AC110="No",'Recycling - Case 1'!T150="No"), "No", "Yes")</f>
        <v>No</v>
      </c>
      <c r="AD40" s="1101">
        <f t="shared" si="84"/>
        <v>11940.295157318465</v>
      </c>
      <c r="AE40" s="1102">
        <f t="shared" si="85"/>
        <v>1449.6847675388249</v>
      </c>
      <c r="AF40" s="1102">
        <f t="shared" si="86"/>
        <v>209.55929653855324</v>
      </c>
      <c r="AG40" s="1102">
        <f t="shared" si="87"/>
        <v>4724.3211909055435</v>
      </c>
      <c r="AH40" s="1142">
        <f t="shared" si="60"/>
        <v>18323.860412301387</v>
      </c>
      <c r="AI40" s="1423" t="str">
        <f>IF(OR('Recycling - Case 1'!AI21="No",'Recycling - Case 1'!Z150="No"), "No", "Yes")</f>
        <v>Yes</v>
      </c>
      <c r="AJ40" s="1101">
        <f t="shared" si="88"/>
        <v>11369.065259960647</v>
      </c>
      <c r="AK40" s="1102">
        <f t="shared" si="89"/>
        <v>1449.6847675388249</v>
      </c>
      <c r="AL40" s="1102">
        <f t="shared" si="90"/>
        <v>128.77351562592733</v>
      </c>
      <c r="AM40" s="1102">
        <f t="shared" si="91"/>
        <v>5461.7637017393099</v>
      </c>
      <c r="AN40" s="1142">
        <f t="shared" si="92"/>
        <v>18409.28724486471</v>
      </c>
      <c r="AO40" s="1416" t="str">
        <f>IF(OR('Recycling - Case 2'!AC110="No",'Recycling - Case 2'!T150="No"), "No", "Yes")</f>
        <v>No</v>
      </c>
      <c r="AP40" s="1101">
        <f t="shared" si="93"/>
        <v>11369.065259960647</v>
      </c>
      <c r="AQ40" s="1102">
        <f t="shared" si="94"/>
        <v>1449.6847675388249</v>
      </c>
      <c r="AR40" s="1102">
        <f t="shared" si="95"/>
        <v>128.77351562592733</v>
      </c>
      <c r="AS40" s="1102">
        <f t="shared" si="96"/>
        <v>5461.7637017393099</v>
      </c>
      <c r="AT40" s="1142">
        <f t="shared" si="37"/>
        <v>18409.28724486471</v>
      </c>
      <c r="AU40" s="1423" t="str">
        <f>IF(OR('Recycling - Case 2'!AC110="No",'Recycling - Case 2'!T190="No"), "No", "Yes")</f>
        <v>No</v>
      </c>
      <c r="AV40" s="1101">
        <f t="shared" si="63"/>
        <v>11369.59550146031</v>
      </c>
      <c r="AW40" s="1102">
        <f t="shared" si="64"/>
        <v>880.42419326401171</v>
      </c>
      <c r="AX40" s="1102">
        <f t="shared" si="65"/>
        <v>128.77351562592733</v>
      </c>
      <c r="AY40" s="1102">
        <f t="shared" si="66"/>
        <v>5461.7637017393099</v>
      </c>
      <c r="AZ40" s="1142">
        <f t="shared" si="67"/>
        <v>17840.55691208956</v>
      </c>
      <c r="BA40" s="1423" t="str">
        <f>IF(OR('Recycling - Case 3'!AC110="No",'Recycling - Case 3'!T150="No"), "No", "Yes")</f>
        <v>No</v>
      </c>
      <c r="BB40" s="1101">
        <f t="shared" si="97"/>
        <v>11369.59550146031</v>
      </c>
      <c r="BC40" s="1102">
        <f t="shared" si="98"/>
        <v>880.42419326401171</v>
      </c>
      <c r="BD40" s="1102">
        <f t="shared" si="99"/>
        <v>128.77351562592733</v>
      </c>
      <c r="BE40" s="1102">
        <f t="shared" si="100"/>
        <v>5461.7637017393099</v>
      </c>
      <c r="BF40" s="1142">
        <f t="shared" si="47"/>
        <v>17840.55691208956</v>
      </c>
      <c r="BG40" s="1423" t="str">
        <f>IF(OR('Recycling - Case 3'!AC110="No",'Recycling - Case 3'!T190="No"), "No", "Yes")</f>
        <v>No</v>
      </c>
      <c r="BH40" s="596">
        <f t="shared" si="48"/>
        <v>2030</v>
      </c>
      <c r="BI40" s="1102">
        <f>'Recycling - Case 1'!BV110</f>
        <v>94.835024667235103</v>
      </c>
      <c r="BJ40" s="417">
        <f>'Recycling - Case 1'!BW110</f>
        <v>0.55724059795229364</v>
      </c>
      <c r="BK40" s="1142">
        <f>'Recycling - Case 1'!BX110</f>
        <v>45.521353842330129</v>
      </c>
      <c r="BL40" s="1101">
        <f>'Recycling - Case 1'!BY110</f>
        <v>94.835024667235103</v>
      </c>
      <c r="BM40" s="417">
        <f>'Recycling - Case 1'!BZ110</f>
        <v>0.55724059795229364</v>
      </c>
      <c r="BN40" s="1142">
        <f>'Recycling - Case 1'!CA110</f>
        <v>45.521353842330129</v>
      </c>
      <c r="BO40" s="1102">
        <f>'Recycling - Case 2'!BV110</f>
        <v>92.961458009272988</v>
      </c>
      <c r="BP40" s="417">
        <f>'Recycling - Case 2'!BW110</f>
        <v>0.67502380946204188</v>
      </c>
      <c r="BQ40" s="1142">
        <f>'Recycling - Case 2'!BX110</f>
        <v>45.521353842330129</v>
      </c>
      <c r="BR40" s="1101">
        <f>'Recycling - Case 2'!BY110</f>
        <v>92.961458009272988</v>
      </c>
      <c r="BS40" s="417">
        <f>'Recycling - Case 2'!BZ110</f>
        <v>0.67502380946204188</v>
      </c>
      <c r="BT40" s="1142">
        <f>'Recycling - Case 2'!CA110</f>
        <v>45.521353842330129</v>
      </c>
      <c r="BU40" s="1102">
        <f>'Recycling - Case 3'!BV110</f>
        <v>92.961458009272988</v>
      </c>
      <c r="BV40" s="417">
        <f>'Recycling - Case 3'!BW110</f>
        <v>0.67502380946204188</v>
      </c>
      <c r="BW40" s="1142">
        <f>'Recycling - Case 3'!BX110</f>
        <v>45.521353842330129</v>
      </c>
      <c r="BX40" s="1101">
        <f>'Recycling - Case 3'!BY110</f>
        <v>92.961458009272988</v>
      </c>
      <c r="BY40" s="417">
        <f>'Recycling - Case 3'!BZ110</f>
        <v>0.67502380946204188</v>
      </c>
      <c r="BZ40" s="1142">
        <f>'Recycling - Case 3'!CA110</f>
        <v>45.521353842330129</v>
      </c>
      <c r="CA40" s="596">
        <v>2030</v>
      </c>
      <c r="CB40" s="649">
        <f>'Recycling - Case 1'!CB110</f>
        <v>0.22882200098597416</v>
      </c>
      <c r="CC40" s="417">
        <f>'Recycling - Case 1'!CC110</f>
        <v>0.3268883557735357</v>
      </c>
      <c r="CD40" s="417">
        <f>'Recycling - Case 1'!CD110</f>
        <v>0.22882200098597416</v>
      </c>
      <c r="CE40" s="525">
        <f>'Recycling - Case 1'!CE110</f>
        <v>0.3268883557735357</v>
      </c>
      <c r="CF40" s="649">
        <f>'Recycling - Case 2'!CB110</f>
        <v>0.29577637461695849</v>
      </c>
      <c r="CG40" s="417">
        <f>'Recycling - Case 2'!CC110</f>
        <v>0.3268883557735357</v>
      </c>
      <c r="CH40" s="417">
        <f>'Recycling - Case 2'!CD110</f>
        <v>0.29577637461695849</v>
      </c>
      <c r="CI40" s="525">
        <f>'Recycling - Case 2'!CE110</f>
        <v>0.3268883557735357</v>
      </c>
      <c r="CJ40" s="649">
        <f>'Recycling - Case 3'!CB110</f>
        <v>0.29577637461695849</v>
      </c>
      <c r="CK40" s="417">
        <f>'Recycling - Case 3'!CC110</f>
        <v>0.3268883557735357</v>
      </c>
      <c r="CL40" s="417">
        <f>'Recycling - Case 3'!CD110</f>
        <v>0.29577637461695849</v>
      </c>
      <c r="CM40" s="525">
        <f>'Recycling - Case 3'!CE110</f>
        <v>0.3268883557735357</v>
      </c>
    </row>
    <row r="41" spans="1:91">
      <c r="A41" s="4">
        <f>'Input data'!A130</f>
        <v>2030</v>
      </c>
      <c r="B41" s="4"/>
      <c r="C41" s="769">
        <f>'4A SWD Case 1'!BG100</f>
        <v>568.58548368183165</v>
      </c>
      <c r="D41" s="3">
        <f>'4B Biological treatment '!T94</f>
        <v>0.80404035914521621</v>
      </c>
      <c r="E41" s="1157">
        <f>'4B Biological treatment '!U94</f>
        <v>36.181816161534726</v>
      </c>
      <c r="F41" s="1157">
        <f>'4B Biological treatment '!W94</f>
        <v>2.1709089696920838</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11940.295157318465</v>
      </c>
      <c r="M41" s="772">
        <f t="shared" si="70"/>
        <v>16.884847542049542</v>
      </c>
      <c r="N41" s="771">
        <f t="shared" si="71"/>
        <v>1432.7999199967753</v>
      </c>
      <c r="O41" s="773">
        <f t="shared" si="72"/>
        <v>209.55929653855324</v>
      </c>
      <c r="P41" s="771">
        <f t="shared" si="73"/>
        <v>4724.3211909055435</v>
      </c>
      <c r="Q41" s="519">
        <f t="shared" si="74"/>
        <v>11940.295157318465</v>
      </c>
      <c r="R41" s="521">
        <f t="shared" si="75"/>
        <v>1449.6847675388249</v>
      </c>
      <c r="S41" s="518">
        <f t="shared" si="76"/>
        <v>209.55929653855324</v>
      </c>
      <c r="T41" s="519">
        <f t="shared" si="77"/>
        <v>4724.3211909055435</v>
      </c>
      <c r="U41" s="519">
        <f t="shared" si="78"/>
        <v>18323.860412301387</v>
      </c>
      <c r="V41" s="3"/>
      <c r="W41" s="596">
        <f t="shared" si="79"/>
        <v>2031</v>
      </c>
      <c r="X41" s="1101">
        <f t="shared" si="80"/>
        <v>11539.082365502234</v>
      </c>
      <c r="Y41" s="1102">
        <f t="shared" si="81"/>
        <v>1459.53312254915</v>
      </c>
      <c r="Z41" s="1102">
        <f t="shared" si="82"/>
        <v>199.12484182484837</v>
      </c>
      <c r="AA41" s="1102">
        <f t="shared" si="83"/>
        <v>4801.8266337074856</v>
      </c>
      <c r="AB41" s="1142">
        <f t="shared" si="22"/>
        <v>17999.566963583718</v>
      </c>
      <c r="AC41" s="1423" t="str">
        <f>IF(OR('Recycling - Case 1'!AC111="No",'Recycling - Case 1'!T151="No"), "No", "Yes")</f>
        <v>No</v>
      </c>
      <c r="AD41" s="1101">
        <f t="shared" si="84"/>
        <v>11539.082365502234</v>
      </c>
      <c r="AE41" s="1102">
        <f t="shared" si="85"/>
        <v>1459.53312254915</v>
      </c>
      <c r="AF41" s="1102">
        <f t="shared" si="86"/>
        <v>199.12484182484837</v>
      </c>
      <c r="AG41" s="1102">
        <f t="shared" si="87"/>
        <v>4801.8266337074856</v>
      </c>
      <c r="AH41" s="1142">
        <f t="shared" si="60"/>
        <v>17999.566963583718</v>
      </c>
      <c r="AI41" s="1423" t="str">
        <f>IF(OR('Recycling - Case 1'!AI22="No",'Recycling - Case 1'!Z151="No"), "No", "Yes")</f>
        <v>Yes</v>
      </c>
      <c r="AJ41" s="1101">
        <f t="shared" si="88"/>
        <v>10934.432159779775</v>
      </c>
      <c r="AK41" s="1102">
        <f t="shared" si="89"/>
        <v>1459.53312254915</v>
      </c>
      <c r="AL41" s="1102">
        <f t="shared" si="90"/>
        <v>113.56951234567336</v>
      </c>
      <c r="AM41" s="1102">
        <f t="shared" si="91"/>
        <v>5508.3758769951792</v>
      </c>
      <c r="AN41" s="1142">
        <f t="shared" si="92"/>
        <v>18015.910671669779</v>
      </c>
      <c r="AO41" s="1416" t="str">
        <f>IF(OR('Recycling - Case 2'!AC111="No",'Recycling - Case 2'!T151="No"), "No", "Yes")</f>
        <v>No</v>
      </c>
      <c r="AP41" s="1101">
        <f t="shared" si="93"/>
        <v>10934.432159779775</v>
      </c>
      <c r="AQ41" s="1102">
        <f t="shared" si="94"/>
        <v>1459.53312254915</v>
      </c>
      <c r="AR41" s="1102">
        <f t="shared" si="95"/>
        <v>113.56951234567336</v>
      </c>
      <c r="AS41" s="1102">
        <f t="shared" si="96"/>
        <v>5508.3758769951792</v>
      </c>
      <c r="AT41" s="1142">
        <f t="shared" si="37"/>
        <v>18015.910671669779</v>
      </c>
      <c r="AU41" s="1423" t="str">
        <f>IF(OR('Recycling - Case 2'!AC111="No",'Recycling - Case 2'!T191="No"), "No", "Yes")</f>
        <v>No</v>
      </c>
      <c r="AV41" s="1101">
        <f t="shared" si="63"/>
        <v>10935.044675202747</v>
      </c>
      <c r="AW41" s="1102">
        <f t="shared" si="64"/>
        <v>886.40530737177983</v>
      </c>
      <c r="AX41" s="1102">
        <f t="shared" si="65"/>
        <v>113.56951234567336</v>
      </c>
      <c r="AY41" s="1102">
        <f t="shared" si="66"/>
        <v>5508.3758769951792</v>
      </c>
      <c r="AZ41" s="1142">
        <f t="shared" si="67"/>
        <v>17443.39537191538</v>
      </c>
      <c r="BA41" s="1423" t="str">
        <f>IF(OR('Recycling - Case 3'!AC111="No",'Recycling - Case 3'!T151="No"), "No", "Yes")</f>
        <v>No</v>
      </c>
      <c r="BB41" s="1101">
        <f t="shared" si="97"/>
        <v>10935.044675202747</v>
      </c>
      <c r="BC41" s="1102">
        <f t="shared" si="98"/>
        <v>886.40530737177983</v>
      </c>
      <c r="BD41" s="1102">
        <f t="shared" si="99"/>
        <v>113.56951234567336</v>
      </c>
      <c r="BE41" s="1102">
        <f t="shared" si="100"/>
        <v>5508.3758769951792</v>
      </c>
      <c r="BF41" s="1142">
        <f t="shared" si="47"/>
        <v>17443.39537191538</v>
      </c>
      <c r="BG41" s="1423" t="str">
        <f>IF(OR('Recycling - Case 3'!AC111="No",'Recycling - Case 3'!T191="No"), "No", "Yes")</f>
        <v>No</v>
      </c>
      <c r="BH41" s="596">
        <f t="shared" si="48"/>
        <v>2031</v>
      </c>
      <c r="BI41" s="1102">
        <f>'Recycling - Case 1'!BV111</f>
        <v>93.750200658886101</v>
      </c>
      <c r="BJ41" s="417">
        <f>'Recycling - Case 1'!BW111</f>
        <v>0.56718365435530249</v>
      </c>
      <c r="BK41" s="1142">
        <f>'Recycling - Case 1'!BX111</f>
        <v>44.085520531554444</v>
      </c>
      <c r="BL41" s="1101">
        <f>'Recycling - Case 1'!BY111</f>
        <v>93.750200658886101</v>
      </c>
      <c r="BM41" s="417">
        <f>'Recycling - Case 1'!BZ111</f>
        <v>0.56718365435530249</v>
      </c>
      <c r="BN41" s="1142">
        <f>'Recycling - Case 1'!CA111</f>
        <v>44.085520531554444</v>
      </c>
      <c r="BO41" s="1102">
        <f>'Recycling - Case 2'!BV111</f>
        <v>91.775978456058198</v>
      </c>
      <c r="BP41" s="417">
        <f>'Recycling - Case 2'!BW111</f>
        <v>0.68385584062527216</v>
      </c>
      <c r="BQ41" s="1142">
        <f>'Recycling - Case 2'!BX111</f>
        <v>44.085520531554444</v>
      </c>
      <c r="BR41" s="1101">
        <f>'Recycling - Case 2'!BY111</f>
        <v>91.775978456058198</v>
      </c>
      <c r="BS41" s="417">
        <f>'Recycling - Case 2'!BZ111</f>
        <v>0.68385584062527216</v>
      </c>
      <c r="BT41" s="1142">
        <f>'Recycling - Case 2'!CA111</f>
        <v>44.085520531554444</v>
      </c>
      <c r="BU41" s="1102">
        <f>'Recycling - Case 3'!BV111</f>
        <v>91.775978456058198</v>
      </c>
      <c r="BV41" s="417">
        <f>'Recycling - Case 3'!BW111</f>
        <v>0.68385584062527216</v>
      </c>
      <c r="BW41" s="1142">
        <f>'Recycling - Case 3'!BX111</f>
        <v>44.085520531554444</v>
      </c>
      <c r="BX41" s="1101">
        <f>'Recycling - Case 3'!BY111</f>
        <v>91.775978456058198</v>
      </c>
      <c r="BY41" s="417">
        <f>'Recycling - Case 3'!BZ111</f>
        <v>0.68385584062527216</v>
      </c>
      <c r="BZ41" s="1142">
        <f>'Recycling - Case 3'!CA111</f>
        <v>44.085520531554444</v>
      </c>
      <c r="CA41" s="596">
        <v>2031</v>
      </c>
      <c r="CB41" s="649">
        <f>'Recycling - Case 1'!CB111</f>
        <v>0.24572749882361522</v>
      </c>
      <c r="CC41" s="417">
        <f>'Recycling - Case 1'!CC111</f>
        <v>0.33462375034984448</v>
      </c>
      <c r="CD41" s="417">
        <f>'Recycling - Case 1'!CD111</f>
        <v>0.24572749882361522</v>
      </c>
      <c r="CE41" s="525">
        <f>'Recycling - Case 1'!CE111</f>
        <v>0.33462375034984448</v>
      </c>
      <c r="CF41" s="649">
        <f>'Recycling - Case 2'!CB111</f>
        <v>0.31568192095747505</v>
      </c>
      <c r="CG41" s="417">
        <f>'Recycling - Case 2'!CC111</f>
        <v>0.33462375034984448</v>
      </c>
      <c r="CH41" s="417">
        <f>'Recycling - Case 2'!CD111</f>
        <v>0.31568192095747505</v>
      </c>
      <c r="CI41" s="525">
        <f>'Recycling - Case 2'!CE111</f>
        <v>0.33462375034984448</v>
      </c>
      <c r="CJ41" s="649">
        <f>'Recycling - Case 3'!CB111</f>
        <v>0.31568192095747505</v>
      </c>
      <c r="CK41" s="417">
        <f>'Recycling - Case 3'!CC111</f>
        <v>0.33462375034984448</v>
      </c>
      <c r="CL41" s="417">
        <f>'Recycling - Case 3'!CD111</f>
        <v>0.31568192095747505</v>
      </c>
      <c r="CM41" s="525">
        <f>'Recycling - Case 3'!CE111</f>
        <v>0.33462375034984448</v>
      </c>
    </row>
    <row r="42" spans="1:91">
      <c r="A42" s="4">
        <f>'Input data'!A131</f>
        <v>2031</v>
      </c>
      <c r="B42" s="4"/>
      <c r="C42" s="769">
        <f>'4A SWD Case 1'!BG101</f>
        <v>549.48011264296349</v>
      </c>
      <c r="D42" s="3">
        <f>'4B Biological treatment '!T95</f>
        <v>0.80950256380984476</v>
      </c>
      <c r="E42" s="1157">
        <f>'4B Biological treatment '!U95</f>
        <v>36.427615371443011</v>
      </c>
      <c r="F42" s="1157">
        <f>'4B Biological treatment '!W95</f>
        <v>2.1856569222865807</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11539.082365502234</v>
      </c>
      <c r="M42" s="772">
        <f t="shared" si="70"/>
        <v>16.99955384000674</v>
      </c>
      <c r="N42" s="771">
        <f t="shared" si="71"/>
        <v>1442.5335687091433</v>
      </c>
      <c r="O42" s="773">
        <f t="shared" si="72"/>
        <v>199.12484182484837</v>
      </c>
      <c r="P42" s="771">
        <f t="shared" si="73"/>
        <v>4801.8266337074856</v>
      </c>
      <c r="Q42" s="519">
        <f t="shared" si="74"/>
        <v>11539.082365502234</v>
      </c>
      <c r="R42" s="521">
        <f t="shared" si="75"/>
        <v>1459.53312254915</v>
      </c>
      <c r="S42" s="518">
        <f t="shared" si="76"/>
        <v>199.12484182484837</v>
      </c>
      <c r="T42" s="519">
        <f t="shared" si="77"/>
        <v>4801.8266337074856</v>
      </c>
      <c r="U42" s="519">
        <f t="shared" si="78"/>
        <v>17999.566963583718</v>
      </c>
      <c r="V42" s="3"/>
      <c r="W42" s="596">
        <f t="shared" si="79"/>
        <v>2032</v>
      </c>
      <c r="X42" s="1101">
        <f t="shared" si="80"/>
        <v>11151.151256410541</v>
      </c>
      <c r="Y42" s="1102">
        <f t="shared" si="81"/>
        <v>1471.1104253219155</v>
      </c>
      <c r="Z42" s="1102">
        <f t="shared" si="82"/>
        <v>188.7479302250164</v>
      </c>
      <c r="AA42" s="1102">
        <f t="shared" si="83"/>
        <v>4880.3108912879725</v>
      </c>
      <c r="AB42" s="1142">
        <f t="shared" si="22"/>
        <v>17691.320503245443</v>
      </c>
      <c r="AC42" s="1423" t="str">
        <f>IF(OR('Recycling - Case 1'!AC112="No",'Recycling - Case 1'!T152="No"), "No", "Yes")</f>
        <v>No</v>
      </c>
      <c r="AD42" s="1101">
        <f t="shared" si="84"/>
        <v>11151.151256410541</v>
      </c>
      <c r="AE42" s="1102">
        <f t="shared" si="85"/>
        <v>1471.1104253219155</v>
      </c>
      <c r="AF42" s="1102">
        <f t="shared" si="86"/>
        <v>188.7479302250164</v>
      </c>
      <c r="AG42" s="1102">
        <f t="shared" si="87"/>
        <v>4880.3108912879725</v>
      </c>
      <c r="AH42" s="1142">
        <f t="shared" si="60"/>
        <v>17691.320503245443</v>
      </c>
      <c r="AI42" s="1423" t="str">
        <f>IF(OR('Recycling - Case 1'!AI23="No",'Recycling - Case 1'!Z152="No"), "No", "Yes")</f>
        <v>Yes</v>
      </c>
      <c r="AJ42" s="1101">
        <f t="shared" si="88"/>
        <v>10508.992764168599</v>
      </c>
      <c r="AK42" s="1102">
        <f t="shared" si="89"/>
        <v>1471.1104253219155</v>
      </c>
      <c r="AL42" s="1102">
        <f t="shared" si="90"/>
        <v>98.459981517794233</v>
      </c>
      <c r="AM42" s="1102">
        <f t="shared" si="91"/>
        <v>5555.3858532180511</v>
      </c>
      <c r="AN42" s="1142">
        <f t="shared" si="92"/>
        <v>17633.949024226356</v>
      </c>
      <c r="AO42" s="1416" t="str">
        <f>IF(OR('Recycling - Case 2'!AC112="No",'Recycling - Case 2'!T152="No"), "No", "Yes")</f>
        <v>No</v>
      </c>
      <c r="AP42" s="1101">
        <f t="shared" si="93"/>
        <v>10508.992764168599</v>
      </c>
      <c r="AQ42" s="1102">
        <f t="shared" si="94"/>
        <v>1471.1104253219155</v>
      </c>
      <c r="AR42" s="1102">
        <f t="shared" si="95"/>
        <v>98.459981517794233</v>
      </c>
      <c r="AS42" s="1102">
        <f t="shared" si="96"/>
        <v>5555.3858532180511</v>
      </c>
      <c r="AT42" s="1142">
        <f t="shared" si="37"/>
        <v>17633.949024226356</v>
      </c>
      <c r="AU42" s="1423" t="str">
        <f>IF(OR('Recycling - Case 2'!AC112="No",'Recycling - Case 2'!T192="No"), "No", "Yes")</f>
        <v>No</v>
      </c>
      <c r="AV42" s="1101">
        <f t="shared" si="63"/>
        <v>10509.683727931184</v>
      </c>
      <c r="AW42" s="1102">
        <f t="shared" si="64"/>
        <v>893.43644799084723</v>
      </c>
      <c r="AX42" s="1102">
        <f t="shared" si="65"/>
        <v>98.459981517794233</v>
      </c>
      <c r="AY42" s="1102">
        <f t="shared" si="66"/>
        <v>5555.3858532180511</v>
      </c>
      <c r="AZ42" s="1142">
        <f t="shared" si="67"/>
        <v>17056.966010657874</v>
      </c>
      <c r="BA42" s="1423" t="str">
        <f>IF(OR('Recycling - Case 3'!AC112="No",'Recycling - Case 3'!T152="No"), "No", "Yes")</f>
        <v>No</v>
      </c>
      <c r="BB42" s="1101">
        <f t="shared" si="97"/>
        <v>10509.683727931184</v>
      </c>
      <c r="BC42" s="1102">
        <f t="shared" si="98"/>
        <v>893.43644799084723</v>
      </c>
      <c r="BD42" s="1102">
        <f t="shared" si="99"/>
        <v>98.459981517794233</v>
      </c>
      <c r="BE42" s="1102">
        <f t="shared" si="100"/>
        <v>5555.3858532180511</v>
      </c>
      <c r="BF42" s="1142">
        <f t="shared" si="47"/>
        <v>17056.966010657874</v>
      </c>
      <c r="BG42" s="1423" t="str">
        <f>IF(OR('Recycling - Case 3'!AC112="No",'Recycling - Case 3'!T192="No"), "No", "Yes")</f>
        <v>No</v>
      </c>
      <c r="BH42" s="596">
        <f t="shared" si="48"/>
        <v>2032</v>
      </c>
      <c r="BI42" s="1102">
        <f>'Recycling - Case 1'!BV112</f>
        <v>92.062791517362029</v>
      </c>
      <c r="BJ42" s="417">
        <f>'Recycling - Case 1'!BW112</f>
        <v>0.58082122069867592</v>
      </c>
      <c r="BK42" s="1142">
        <f>'Recycling - Case 1'!BX112</f>
        <v>41.932973316894042</v>
      </c>
      <c r="BL42" s="1101">
        <f>'Recycling - Case 1'!BY112</f>
        <v>92.062791517362029</v>
      </c>
      <c r="BM42" s="417">
        <f>'Recycling - Case 1'!BZ112</f>
        <v>0.58082122069867592</v>
      </c>
      <c r="BN42" s="1142">
        <f>'Recycling - Case 1'!CA112</f>
        <v>41.932973316894042</v>
      </c>
      <c r="BO42" s="1102">
        <f>'Recycling - Case 2'!BV112</f>
        <v>89.988360184221079</v>
      </c>
      <c r="BP42" s="417">
        <f>'Recycling - Case 2'!BW112</f>
        <v>0.69564296726310382</v>
      </c>
      <c r="BQ42" s="1142">
        <f>'Recycling - Case 2'!BX112</f>
        <v>41.932973316894042</v>
      </c>
      <c r="BR42" s="1101">
        <f>'Recycling - Case 2'!BY112</f>
        <v>89.988360184221079</v>
      </c>
      <c r="BS42" s="417">
        <f>'Recycling - Case 2'!BZ112</f>
        <v>0.69564296726310382</v>
      </c>
      <c r="BT42" s="1142">
        <f>'Recycling - Case 2'!CA112</f>
        <v>41.932973316894042</v>
      </c>
      <c r="BU42" s="1102">
        <f>'Recycling - Case 3'!BV112</f>
        <v>89.988360184221079</v>
      </c>
      <c r="BV42" s="417">
        <f>'Recycling - Case 3'!BW112</f>
        <v>0.69564296726310382</v>
      </c>
      <c r="BW42" s="1142">
        <f>'Recycling - Case 3'!BX112</f>
        <v>41.932973316894042</v>
      </c>
      <c r="BX42" s="1101">
        <f>'Recycling - Case 3'!BY112</f>
        <v>89.988360184221079</v>
      </c>
      <c r="BY42" s="417">
        <f>'Recycling - Case 3'!BZ112</f>
        <v>0.69564296726310382</v>
      </c>
      <c r="BZ42" s="1142">
        <f>'Recycling - Case 3'!CA112</f>
        <v>41.932973316894042</v>
      </c>
      <c r="CA42" s="596">
        <v>2032</v>
      </c>
      <c r="CB42" s="649">
        <f>'Recycling - Case 1'!CB112</f>
        <v>0.26236415346842734</v>
      </c>
      <c r="CC42" s="417">
        <f>'Recycling - Case 1'!CC112</f>
        <v>0.34517500304929016</v>
      </c>
      <c r="CD42" s="417">
        <f>'Recycling - Case 1'!CD112</f>
        <v>0.26236415346842734</v>
      </c>
      <c r="CE42" s="525">
        <f>'Recycling - Case 1'!CE112</f>
        <v>0.34517500304929016</v>
      </c>
      <c r="CF42" s="649">
        <f>'Recycling - Case 2'!CB112</f>
        <v>0.33524737223917422</v>
      </c>
      <c r="CG42" s="417">
        <f>'Recycling - Case 2'!CC112</f>
        <v>0.34517500304929016</v>
      </c>
      <c r="CH42" s="417">
        <f>'Recycling - Case 2'!CD112</f>
        <v>0.33524737223917422</v>
      </c>
      <c r="CI42" s="525">
        <f>'Recycling - Case 2'!CE112</f>
        <v>0.34517500304929016</v>
      </c>
      <c r="CJ42" s="649">
        <f>'Recycling - Case 3'!CB112</f>
        <v>0.33524737223917422</v>
      </c>
      <c r="CK42" s="417">
        <f>'Recycling - Case 3'!CC112</f>
        <v>0.34517500304929016</v>
      </c>
      <c r="CL42" s="417">
        <f>'Recycling - Case 3'!CD112</f>
        <v>0.33524737223917422</v>
      </c>
      <c r="CM42" s="525">
        <f>'Recycling - Case 3'!CE112</f>
        <v>0.34517500304929016</v>
      </c>
    </row>
    <row r="43" spans="1:91">
      <c r="A43" s="4">
        <f>'Input data'!A132</f>
        <v>2032</v>
      </c>
      <c r="B43" s="4"/>
      <c r="C43" s="769">
        <f>'4A SWD Case 1'!BG102</f>
        <v>531.00720268621626</v>
      </c>
      <c r="D43" s="3">
        <f>'4B Biological treatment '!T96</f>
        <v>0.81592369679529431</v>
      </c>
      <c r="E43" s="1157">
        <f>'4B Biological treatment '!U96</f>
        <v>36.716566355788245</v>
      </c>
      <c r="F43" s="1157">
        <f>'4B Biological treatment '!W96</f>
        <v>2.2029939813472943</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11151.151256410541</v>
      </c>
      <c r="M43" s="772">
        <f t="shared" si="70"/>
        <v>17.13439763270118</v>
      </c>
      <c r="N43" s="771">
        <f t="shared" si="71"/>
        <v>1453.9760276892143</v>
      </c>
      <c r="O43" s="773">
        <f t="shared" si="72"/>
        <v>188.7479302250164</v>
      </c>
      <c r="P43" s="771">
        <f t="shared" si="73"/>
        <v>4880.3108912879725</v>
      </c>
      <c r="Q43" s="519">
        <f t="shared" si="74"/>
        <v>11151.151256410541</v>
      </c>
      <c r="R43" s="521">
        <f t="shared" si="75"/>
        <v>1471.1104253219155</v>
      </c>
      <c r="S43" s="518">
        <f t="shared" si="76"/>
        <v>188.7479302250164</v>
      </c>
      <c r="T43" s="519">
        <f t="shared" si="77"/>
        <v>4880.3108912879725</v>
      </c>
      <c r="U43" s="519">
        <f t="shared" si="78"/>
        <v>17691.320503245443</v>
      </c>
      <c r="V43" s="3"/>
      <c r="W43" s="596">
        <f t="shared" si="79"/>
        <v>2033</v>
      </c>
      <c r="X43" s="1101">
        <f t="shared" si="80"/>
        <v>10775.701883524569</v>
      </c>
      <c r="Y43" s="1102">
        <f t="shared" si="81"/>
        <v>1483.6068267830804</v>
      </c>
      <c r="Z43" s="1102">
        <f t="shared" si="82"/>
        <v>178.42741871714372</v>
      </c>
      <c r="AA43" s="1102">
        <f t="shared" si="83"/>
        <v>4959.7850255740987</v>
      </c>
      <c r="AB43" s="1142">
        <f t="shared" si="22"/>
        <v>17397.52115459889</v>
      </c>
      <c r="AC43" s="1423" t="str">
        <f>IF(OR('Recycling - Case 1'!AC113="No",'Recycling - Case 1'!T153="No"), "No", "Yes")</f>
        <v>No</v>
      </c>
      <c r="AD43" s="1101">
        <f t="shared" si="84"/>
        <v>10775.701883524569</v>
      </c>
      <c r="AE43" s="1102">
        <f t="shared" si="85"/>
        <v>1483.6068267830804</v>
      </c>
      <c r="AF43" s="1102">
        <f t="shared" si="86"/>
        <v>178.42741871714372</v>
      </c>
      <c r="AG43" s="1102">
        <f t="shared" si="87"/>
        <v>4959.7850255740987</v>
      </c>
      <c r="AH43" s="1142">
        <f t="shared" si="60"/>
        <v>17397.52115459889</v>
      </c>
      <c r="AI43" s="1423" t="str">
        <f>IF(OR('Recycling - Case 1'!AI24="No",'Recycling - Case 1'!Z153="No"), "No", "Yes")</f>
        <v>Yes</v>
      </c>
      <c r="AJ43" s="1101">
        <f t="shared" si="88"/>
        <v>10092.250310627282</v>
      </c>
      <c r="AK43" s="1102">
        <f t="shared" si="89"/>
        <v>1483.6068267830804</v>
      </c>
      <c r="AL43" s="1102">
        <f t="shared" si="90"/>
        <v>98.168119205727166</v>
      </c>
      <c r="AM43" s="1102">
        <f t="shared" si="91"/>
        <v>5602.7970253494477</v>
      </c>
      <c r="AN43" s="1142">
        <f t="shared" si="92"/>
        <v>17276.822281965535</v>
      </c>
      <c r="AO43" s="1416" t="str">
        <f>IF(OR('Recycling - Case 2'!AC113="No",'Recycling - Case 2'!T153="No"), "No", "Yes")</f>
        <v>No</v>
      </c>
      <c r="AP43" s="1101">
        <f t="shared" si="93"/>
        <v>10092.250310627282</v>
      </c>
      <c r="AQ43" s="1102">
        <f t="shared" si="94"/>
        <v>1483.6068267830804</v>
      </c>
      <c r="AR43" s="1102">
        <f t="shared" si="95"/>
        <v>98.168119205727166</v>
      </c>
      <c r="AS43" s="1102">
        <f t="shared" si="96"/>
        <v>5602.7970253494477</v>
      </c>
      <c r="AT43" s="1142">
        <f t="shared" si="37"/>
        <v>17276.822281965535</v>
      </c>
      <c r="AU43" s="1423" t="str">
        <f>IF(OR('Recycling - Case 2'!AC113="No",'Recycling - Case 2'!T193="No"), "No", "Yes")</f>
        <v>No</v>
      </c>
      <c r="AV43" s="1101">
        <f t="shared" si="63"/>
        <v>10093.016128171786</v>
      </c>
      <c r="AW43" s="1102">
        <f t="shared" si="64"/>
        <v>901.02577666526497</v>
      </c>
      <c r="AX43" s="1102">
        <f t="shared" si="65"/>
        <v>98.168119205727166</v>
      </c>
      <c r="AY43" s="1102">
        <f t="shared" si="66"/>
        <v>5602.7970253494477</v>
      </c>
      <c r="AZ43" s="1142">
        <f t="shared" si="67"/>
        <v>16695.007049392225</v>
      </c>
      <c r="BA43" s="1423" t="str">
        <f>IF(OR('Recycling - Case 3'!AC113="No",'Recycling - Case 3'!T153="No"), "No", "Yes")</f>
        <v>No</v>
      </c>
      <c r="BB43" s="1101">
        <f t="shared" si="97"/>
        <v>10093.016128171786</v>
      </c>
      <c r="BC43" s="1102">
        <f t="shared" si="98"/>
        <v>901.02577666526497</v>
      </c>
      <c r="BD43" s="1102">
        <f t="shared" si="99"/>
        <v>98.168119205727166</v>
      </c>
      <c r="BE43" s="1102">
        <f t="shared" si="100"/>
        <v>5602.7970253494477</v>
      </c>
      <c r="BF43" s="1142">
        <f t="shared" si="47"/>
        <v>16695.007049392225</v>
      </c>
      <c r="BG43" s="1423" t="str">
        <f>IF(OR('Recycling - Case 3'!AC113="No",'Recycling - Case 3'!T193="No"), "No", "Yes")</f>
        <v>No</v>
      </c>
      <c r="BH43" s="596">
        <f t="shared" si="48"/>
        <v>2033</v>
      </c>
      <c r="BI43" s="1102">
        <f>'Recycling - Case 1'!BV113</f>
        <v>91.71234090193515</v>
      </c>
      <c r="BJ43" s="417">
        <f>'Recycling - Case 1'!BW113</f>
        <v>0.58974388999060834</v>
      </c>
      <c r="BK43" s="1142">
        <f>'Recycling - Case 1'!BX113</f>
        <v>41.05621402258253</v>
      </c>
      <c r="BL43" s="1101">
        <f>'Recycling - Case 1'!BY113</f>
        <v>91.71234090193515</v>
      </c>
      <c r="BM43" s="417">
        <f>'Recycling - Case 1'!BZ113</f>
        <v>0.58974388999060834</v>
      </c>
      <c r="BN43" s="1142">
        <f>'Recycling - Case 1'!CA113</f>
        <v>41.05621402258253</v>
      </c>
      <c r="BO43" s="1102">
        <f>'Recycling - Case 2'!BV113</f>
        <v>90.005935356484926</v>
      </c>
      <c r="BP43" s="417">
        <f>'Recycling - Case 2'!BW113</f>
        <v>0.7015470746062723</v>
      </c>
      <c r="BQ43" s="1142">
        <f>'Recycling - Case 2'!BX113</f>
        <v>41.05621402258253</v>
      </c>
      <c r="BR43" s="1101">
        <f>'Recycling - Case 2'!BY113</f>
        <v>90.005935356484926</v>
      </c>
      <c r="BS43" s="417">
        <f>'Recycling - Case 2'!BZ113</f>
        <v>0.7015470746062723</v>
      </c>
      <c r="BT43" s="1142">
        <f>'Recycling - Case 2'!CA113</f>
        <v>41.05621402258253</v>
      </c>
      <c r="BU43" s="1102">
        <f>'Recycling - Case 3'!BV113</f>
        <v>90.005935356484926</v>
      </c>
      <c r="BV43" s="417">
        <f>'Recycling - Case 3'!BW113</f>
        <v>0.7015470746062723</v>
      </c>
      <c r="BW43" s="1142">
        <f>'Recycling - Case 3'!BX113</f>
        <v>41.05621402258253</v>
      </c>
      <c r="BX43" s="1101">
        <f>'Recycling - Case 3'!BY113</f>
        <v>90.005935356484926</v>
      </c>
      <c r="BY43" s="417">
        <f>'Recycling - Case 3'!BZ113</f>
        <v>0.7015470746062723</v>
      </c>
      <c r="BZ43" s="1142">
        <f>'Recycling - Case 3'!CA113</f>
        <v>41.05621402258253</v>
      </c>
      <c r="CA43" s="596">
        <v>2033</v>
      </c>
      <c r="CB43" s="649">
        <f>'Recycling - Case 1'!CB113</f>
        <v>0.27873582031809607</v>
      </c>
      <c r="CC43" s="417">
        <f>'Recycling - Case 1'!CC113</f>
        <v>0.35193746497352119</v>
      </c>
      <c r="CD43" s="417">
        <f>'Recycling - Case 1'!CD113</f>
        <v>0.27873582031809607</v>
      </c>
      <c r="CE43" s="525">
        <f>'Recycling - Case 1'!CE113</f>
        <v>0.35193746497352119</v>
      </c>
      <c r="CF43" s="649">
        <f>'Recycling - Case 2'!CB113</f>
        <v>0.33818146943254268</v>
      </c>
      <c r="CG43" s="417">
        <f>'Recycling - Case 2'!CC113</f>
        <v>0.35193746497352119</v>
      </c>
      <c r="CH43" s="417">
        <f>'Recycling - Case 2'!CD113</f>
        <v>0.33818146943254268</v>
      </c>
      <c r="CI43" s="525">
        <f>'Recycling - Case 2'!CE113</f>
        <v>0.35193746497352119</v>
      </c>
      <c r="CJ43" s="649">
        <f>'Recycling - Case 3'!CB113</f>
        <v>0.33818146943254268</v>
      </c>
      <c r="CK43" s="417">
        <f>'Recycling - Case 3'!CC113</f>
        <v>0.35193746497352119</v>
      </c>
      <c r="CL43" s="417">
        <f>'Recycling - Case 3'!CD113</f>
        <v>0.33818146943254268</v>
      </c>
      <c r="CM43" s="525">
        <f>'Recycling - Case 3'!CE113</f>
        <v>0.35193746497352119</v>
      </c>
    </row>
    <row r="44" spans="1:91">
      <c r="A44" s="4">
        <f>'Input data'!A133</f>
        <v>2033</v>
      </c>
      <c r="B44" s="4"/>
      <c r="C44" s="769">
        <f>'4A SWD Case 1'!BG103</f>
        <v>513.12866112021754</v>
      </c>
      <c r="D44" s="3">
        <f>'4B Biological treatment '!T97</f>
        <v>0.82285459056188603</v>
      </c>
      <c r="E44" s="1157">
        <f>'4B Biological treatment '!U97</f>
        <v>37.028456575284864</v>
      </c>
      <c r="F44" s="1157">
        <f>'4B Biological treatment '!W97</f>
        <v>2.2217073945170922</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10775.701883524569</v>
      </c>
      <c r="M44" s="772">
        <f t="shared" si="70"/>
        <v>17.279946401799606</v>
      </c>
      <c r="N44" s="771">
        <f t="shared" si="71"/>
        <v>1466.3268803812807</v>
      </c>
      <c r="O44" s="773">
        <f t="shared" si="72"/>
        <v>178.42741871714372</v>
      </c>
      <c r="P44" s="771">
        <f t="shared" si="73"/>
        <v>4959.7850255740987</v>
      </c>
      <c r="Q44" s="519">
        <f t="shared" si="74"/>
        <v>10775.701883524569</v>
      </c>
      <c r="R44" s="521">
        <f t="shared" si="75"/>
        <v>1483.6068267830804</v>
      </c>
      <c r="S44" s="518">
        <f t="shared" si="76"/>
        <v>178.42741871714372</v>
      </c>
      <c r="T44" s="519">
        <f t="shared" si="77"/>
        <v>4959.7850255740987</v>
      </c>
      <c r="U44" s="519">
        <f t="shared" si="78"/>
        <v>17397.52115459889</v>
      </c>
      <c r="V44" s="3"/>
      <c r="W44" s="596">
        <f t="shared" si="79"/>
        <v>2034</v>
      </c>
      <c r="X44" s="1101">
        <f t="shared" si="80"/>
        <v>10411.973208664447</v>
      </c>
      <c r="Y44" s="1102">
        <f t="shared" si="81"/>
        <v>1498.1907971897124</v>
      </c>
      <c r="Z44" s="1102">
        <f t="shared" si="82"/>
        <v>168.16219083511854</v>
      </c>
      <c r="AA44" s="1102">
        <f t="shared" si="83"/>
        <v>5040.2602160131582</v>
      </c>
      <c r="AB44" s="1142">
        <f t="shared" si="22"/>
        <v>17118.586412702436</v>
      </c>
      <c r="AC44" s="1423" t="str">
        <f>IF(OR('Recycling - Case 1'!AC114="No",'Recycling - Case 1'!T154="No"), "No", "Yes")</f>
        <v>No</v>
      </c>
      <c r="AD44" s="1101">
        <f t="shared" si="84"/>
        <v>10411.973208664447</v>
      </c>
      <c r="AE44" s="1102">
        <f t="shared" si="85"/>
        <v>1498.1907971897124</v>
      </c>
      <c r="AF44" s="1102">
        <f t="shared" si="86"/>
        <v>168.16219083511854</v>
      </c>
      <c r="AG44" s="1102">
        <f t="shared" si="87"/>
        <v>5040.2602160131582</v>
      </c>
      <c r="AH44" s="1142">
        <f t="shared" si="60"/>
        <v>17118.586412702436</v>
      </c>
      <c r="AI44" s="1423" t="str">
        <f>IF(OR('Recycling - Case 1'!AI25="No",'Recycling - Case 1'!Z154="No"), "No", "Yes")</f>
        <v>Yes</v>
      </c>
      <c r="AJ44" s="1101">
        <f t="shared" si="88"/>
        <v>9696.0757403764201</v>
      </c>
      <c r="AK44" s="1102">
        <f t="shared" si="89"/>
        <v>1498.1907971897124</v>
      </c>
      <c r="AL44" s="1102">
        <f t="shared" si="90"/>
        <v>97.880430060004471</v>
      </c>
      <c r="AM44" s="1102">
        <f t="shared" si="91"/>
        <v>5650.6128173042498</v>
      </c>
      <c r="AN44" s="1142">
        <f t="shared" si="92"/>
        <v>16942.759784930386</v>
      </c>
      <c r="AO44" s="1416" t="str">
        <f>IF(OR('Recycling - Case 2'!AC114="No",'Recycling - Case 2'!T154="No"), "No", "Yes")</f>
        <v>No</v>
      </c>
      <c r="AP44" s="1101">
        <f t="shared" si="93"/>
        <v>9696.0757403764201</v>
      </c>
      <c r="AQ44" s="1102">
        <f t="shared" si="94"/>
        <v>1498.1907971897124</v>
      </c>
      <c r="AR44" s="1102">
        <f t="shared" si="95"/>
        <v>97.880430060004471</v>
      </c>
      <c r="AS44" s="1102">
        <f t="shared" si="96"/>
        <v>5650.6128173042498</v>
      </c>
      <c r="AT44" s="1142">
        <f t="shared" si="37"/>
        <v>16942.759784930386</v>
      </c>
      <c r="AU44" s="1423" t="str">
        <f>IF(OR('Recycling - Case 2'!AC114="No",'Recycling - Case 2'!T194="No"), "No", "Yes")</f>
        <v>No</v>
      </c>
      <c r="AV44" s="1101">
        <f t="shared" si="63"/>
        <v>9696.9130347875671</v>
      </c>
      <c r="AW44" s="1102">
        <f t="shared" si="64"/>
        <v>909.88293007361904</v>
      </c>
      <c r="AX44" s="1102">
        <f t="shared" si="65"/>
        <v>97.880430060004471</v>
      </c>
      <c r="AY44" s="1102">
        <f t="shared" si="66"/>
        <v>5650.6128173042498</v>
      </c>
      <c r="AZ44" s="1142">
        <f t="shared" si="67"/>
        <v>16355.289212225442</v>
      </c>
      <c r="BA44" s="1423" t="str">
        <f>IF(OR('Recycling - Case 3'!AC114="No",'Recycling - Case 3'!T154="No"), "No", "Yes")</f>
        <v>No</v>
      </c>
      <c r="BB44" s="1101">
        <f t="shared" si="97"/>
        <v>9696.9130347875671</v>
      </c>
      <c r="BC44" s="1102">
        <f t="shared" si="98"/>
        <v>909.88293007361904</v>
      </c>
      <c r="BD44" s="1102">
        <f t="shared" si="99"/>
        <v>97.880430060004471</v>
      </c>
      <c r="BE44" s="1102">
        <f t="shared" si="100"/>
        <v>5650.6128173042498</v>
      </c>
      <c r="BF44" s="1142">
        <f t="shared" si="47"/>
        <v>16355.289212225442</v>
      </c>
      <c r="BG44" s="1423" t="str">
        <f>IF(OR('Recycling - Case 3'!AC114="No",'Recycling - Case 3'!T194="No"), "No", "Yes")</f>
        <v>No</v>
      </c>
      <c r="BH44" s="596">
        <f t="shared" si="48"/>
        <v>2034</v>
      </c>
      <c r="BI44" s="1102">
        <f>'Recycling - Case 1'!BV114</f>
        <v>91.80856650124116</v>
      </c>
      <c r="BJ44" s="417">
        <f>'Recycling - Case 1'!BW114</f>
        <v>0.59799377129441522</v>
      </c>
      <c r="BK44" s="1142">
        <f>'Recycling - Case 1'!BX114</f>
        <v>40.488564369250604</v>
      </c>
      <c r="BL44" s="1101">
        <f>'Recycling - Case 1'!BY114</f>
        <v>91.80856650124116</v>
      </c>
      <c r="BM44" s="417">
        <f>'Recycling - Case 1'!BZ114</f>
        <v>0.59799377129441522</v>
      </c>
      <c r="BN44" s="1142">
        <f>'Recycling - Case 1'!CA114</f>
        <v>40.488564369250604</v>
      </c>
      <c r="BO44" s="1102">
        <f>'Recycling - Case 2'!BV114</f>
        <v>90.469837048480642</v>
      </c>
      <c r="BP44" s="417">
        <f>'Recycling - Case 2'!BW114</f>
        <v>0.70684212790468459</v>
      </c>
      <c r="BQ44" s="1142">
        <f>'Recycling - Case 2'!BX114</f>
        <v>40.488564369250604</v>
      </c>
      <c r="BR44" s="1101">
        <f>'Recycling - Case 2'!BY114</f>
        <v>90.469837048480642</v>
      </c>
      <c r="BS44" s="417">
        <f>'Recycling - Case 2'!BZ114</f>
        <v>0.70684212790468459</v>
      </c>
      <c r="BT44" s="1142">
        <f>'Recycling - Case 2'!CA114</f>
        <v>40.488564369250604</v>
      </c>
      <c r="BU44" s="1102">
        <f>'Recycling - Case 3'!BV114</f>
        <v>90.469837048480642</v>
      </c>
      <c r="BV44" s="417">
        <f>'Recycling - Case 3'!BW114</f>
        <v>0.70684212790468459</v>
      </c>
      <c r="BW44" s="1142">
        <f>'Recycling - Case 3'!BX114</f>
        <v>40.488564369250604</v>
      </c>
      <c r="BX44" s="1101">
        <f>'Recycling - Case 3'!BY114</f>
        <v>90.469837048480642</v>
      </c>
      <c r="BY44" s="417">
        <f>'Recycling - Case 3'!BZ114</f>
        <v>0.70684212790468459</v>
      </c>
      <c r="BZ44" s="1142">
        <f>'Recycling - Case 3'!CA114</f>
        <v>40.488564369250604</v>
      </c>
      <c r="CA44" s="596">
        <v>2034</v>
      </c>
      <c r="CB44" s="649">
        <f>'Recycling - Case 1'!CB114</f>
        <v>0.29484629303664733</v>
      </c>
      <c r="CC44" s="417">
        <f>'Recycling - Case 1'!CC114</f>
        <v>0.35819600168190047</v>
      </c>
      <c r="CD44" s="417">
        <f>'Recycling - Case 1'!CD114</f>
        <v>0.29484629303664733</v>
      </c>
      <c r="CE44" s="525">
        <f>'Recycling - Case 1'!CE114</f>
        <v>0.35819600168190047</v>
      </c>
      <c r="CF44" s="649">
        <f>'Recycling - Case 2'!CB114</f>
        <v>0.34108865163413971</v>
      </c>
      <c r="CG44" s="417">
        <f>'Recycling - Case 2'!CC114</f>
        <v>0.35819600168190047</v>
      </c>
      <c r="CH44" s="417">
        <f>'Recycling - Case 2'!CD114</f>
        <v>0.34108865163413971</v>
      </c>
      <c r="CI44" s="525">
        <f>'Recycling - Case 2'!CE114</f>
        <v>0.35819600168190047</v>
      </c>
      <c r="CJ44" s="649">
        <f>'Recycling - Case 3'!CB114</f>
        <v>0.34108865163413971</v>
      </c>
      <c r="CK44" s="417">
        <f>'Recycling - Case 3'!CC114</f>
        <v>0.35819600168190047</v>
      </c>
      <c r="CL44" s="417">
        <f>'Recycling - Case 3'!CD114</f>
        <v>0.34108865163413971</v>
      </c>
      <c r="CM44" s="525">
        <f>'Recycling - Case 3'!CE114</f>
        <v>0.35819600168190047</v>
      </c>
    </row>
    <row r="45" spans="1:91">
      <c r="A45" s="4">
        <f>'Input data'!A134</f>
        <v>2034</v>
      </c>
      <c r="B45" s="4"/>
      <c r="C45" s="769">
        <f>'4A SWD Case 1'!BG104</f>
        <v>495.80824803164035</v>
      </c>
      <c r="D45" s="3">
        <f>'4B Biological treatment '!T98</f>
        <v>0.83094331513572506</v>
      </c>
      <c r="E45" s="1157">
        <f>'4B Biological treatment '!U98</f>
        <v>37.392449181107629</v>
      </c>
      <c r="F45" s="1157">
        <f>'4B Biological treatment '!W98</f>
        <v>2.2435469508664578</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10411.973208664447</v>
      </c>
      <c r="M45" s="772">
        <f t="shared" si="70"/>
        <v>17.449809617850228</v>
      </c>
      <c r="N45" s="771">
        <f t="shared" si="71"/>
        <v>1480.7409875718622</v>
      </c>
      <c r="O45" s="773">
        <f t="shared" si="72"/>
        <v>168.16219083511854</v>
      </c>
      <c r="P45" s="771">
        <f t="shared" si="73"/>
        <v>5040.2602160131582</v>
      </c>
      <c r="Q45" s="519">
        <f t="shared" si="74"/>
        <v>10411.973208664447</v>
      </c>
      <c r="R45" s="521">
        <f t="shared" si="75"/>
        <v>1498.1907971897124</v>
      </c>
      <c r="S45" s="518">
        <f t="shared" si="76"/>
        <v>168.16219083511854</v>
      </c>
      <c r="T45" s="519">
        <f t="shared" si="77"/>
        <v>5040.2602160131582</v>
      </c>
      <c r="U45" s="519">
        <f t="shared" si="78"/>
        <v>17118.586412702436</v>
      </c>
      <c r="V45" s="3"/>
      <c r="W45" s="596">
        <f t="shared" si="79"/>
        <v>2035</v>
      </c>
      <c r="X45" s="1101">
        <f t="shared" si="80"/>
        <v>10059.241211107601</v>
      </c>
      <c r="Y45" s="1102">
        <f t="shared" si="81"/>
        <v>1509.9520491163021</v>
      </c>
      <c r="Z45" s="1102">
        <f t="shared" si="82"/>
        <v>157.95115591721603</v>
      </c>
      <c r="AA45" s="1102">
        <f t="shared" si="83"/>
        <v>5121.7477607728442</v>
      </c>
      <c r="AB45" s="1142">
        <f t="shared" si="22"/>
        <v>16848.892176913963</v>
      </c>
      <c r="AC45" s="1423" t="str">
        <f>IF(OR('Recycling - Case 1'!AC115="No",'Recycling - Case 1'!T155="No"), "No", "Yes")</f>
        <v>Yes</v>
      </c>
      <c r="AD45" s="1101">
        <f t="shared" si="84"/>
        <v>10059.241211107601</v>
      </c>
      <c r="AE45" s="1102">
        <f t="shared" si="85"/>
        <v>1509.9520491163021</v>
      </c>
      <c r="AF45" s="1102">
        <f t="shared" si="86"/>
        <v>157.95115591721603</v>
      </c>
      <c r="AG45" s="1102">
        <f t="shared" si="87"/>
        <v>5121.7477607728442</v>
      </c>
      <c r="AH45" s="1142">
        <f t="shared" si="60"/>
        <v>16848.892176913963</v>
      </c>
      <c r="AI45" s="1423" t="str">
        <f>IF(OR('Recycling - Case 1'!AI26="No",'Recycling - Case 1'!Z155="No"), "No", "Yes")</f>
        <v>Yes</v>
      </c>
      <c r="AJ45" s="1101">
        <f t="shared" si="88"/>
        <v>9319.466244422918</v>
      </c>
      <c r="AK45" s="1102">
        <f t="shared" si="89"/>
        <v>1509.9520491163021</v>
      </c>
      <c r="AL45" s="1102">
        <f t="shared" si="90"/>
        <v>97.596835379073497</v>
      </c>
      <c r="AM45" s="1102">
        <f t="shared" si="91"/>
        <v>5698.8366822179532</v>
      </c>
      <c r="AN45" s="1142">
        <f t="shared" si="92"/>
        <v>16625.851811136246</v>
      </c>
      <c r="AO45" s="1416" t="str">
        <f>IF(OR('Recycling - Case 2'!AC115="No",'Recycling - Case 2'!T155="No"), "No", "Yes")</f>
        <v>No</v>
      </c>
      <c r="AP45" s="1101">
        <f t="shared" si="93"/>
        <v>9319.466244422918</v>
      </c>
      <c r="AQ45" s="1102">
        <f t="shared" si="94"/>
        <v>1509.9520491163021</v>
      </c>
      <c r="AR45" s="1102">
        <f t="shared" si="95"/>
        <v>97.596835379073497</v>
      </c>
      <c r="AS45" s="1102">
        <f t="shared" si="96"/>
        <v>5698.8366822179532</v>
      </c>
      <c r="AT45" s="1142">
        <f t="shared" si="37"/>
        <v>16625.851811136246</v>
      </c>
      <c r="AU45" s="1423" t="str">
        <f>IF(OR('Recycling - Case 2'!AC115="No",'Recycling - Case 2'!T195="No"), "No", "Yes")</f>
        <v>No</v>
      </c>
      <c r="AV45" s="1101">
        <f t="shared" si="63"/>
        <v>9320.371843824285</v>
      </c>
      <c r="AW45" s="1102">
        <f t="shared" si="64"/>
        <v>917.02578690091559</v>
      </c>
      <c r="AX45" s="1102">
        <f t="shared" si="65"/>
        <v>97.596835379073497</v>
      </c>
      <c r="AY45" s="1102">
        <f t="shared" si="66"/>
        <v>5698.8366822179532</v>
      </c>
      <c r="AZ45" s="1142">
        <f t="shared" si="67"/>
        <v>16033.831148322228</v>
      </c>
      <c r="BA45" s="1423" t="str">
        <f>IF(OR('Recycling - Case 3'!AC115="No",'Recycling - Case 3'!T155="No"), "No", "Yes")</f>
        <v>No</v>
      </c>
      <c r="BB45" s="1101">
        <f t="shared" si="97"/>
        <v>9320.371843824285</v>
      </c>
      <c r="BC45" s="1102">
        <f t="shared" si="98"/>
        <v>917.02578690091559</v>
      </c>
      <c r="BD45" s="1102">
        <f t="shared" si="99"/>
        <v>97.596835379073497</v>
      </c>
      <c r="BE45" s="1102">
        <f t="shared" si="100"/>
        <v>5698.8366822179532</v>
      </c>
      <c r="BF45" s="1142">
        <f t="shared" si="47"/>
        <v>16033.831148322228</v>
      </c>
      <c r="BG45" s="1423" t="str">
        <f>IF(OR('Recycling - Case 3'!AC115="No",'Recycling - Case 3'!T195="No"), "No", "Yes")</f>
        <v>No</v>
      </c>
      <c r="BH45" s="596">
        <f t="shared" si="48"/>
        <v>2035</v>
      </c>
      <c r="BI45" s="1102">
        <f>'Recycling - Case 1'!BV115</f>
        <v>86.819100328613885</v>
      </c>
      <c r="BJ45" s="417">
        <f>'Recycling - Case 1'!BW115</f>
        <v>0.62124307727646377</v>
      </c>
      <c r="BK45" s="1142">
        <f>'Recycling - Case 1'!BX115</f>
        <v>31.941700142198854</v>
      </c>
      <c r="BL45" s="1101">
        <f>'Recycling - Case 1'!BY115</f>
        <v>86.819100328613885</v>
      </c>
      <c r="BM45" s="417">
        <f>'Recycling - Case 1'!BZ115</f>
        <v>0.62124307727646377</v>
      </c>
      <c r="BN45" s="1142">
        <f>'Recycling - Case 1'!CA115</f>
        <v>31.941700142198854</v>
      </c>
      <c r="BO45" s="1102">
        <f>'Recycling - Case 2'!BV115</f>
        <v>82.770683428408063</v>
      </c>
      <c r="BP45" s="417">
        <f>'Recycling - Case 2'!BW115</f>
        <v>0.74152893880336357</v>
      </c>
      <c r="BQ45" s="1142">
        <f>'Recycling - Case 2'!BX115</f>
        <v>31.941700142198854</v>
      </c>
      <c r="BR45" s="1101">
        <f>'Recycling - Case 2'!BY115</f>
        <v>82.770683428408063</v>
      </c>
      <c r="BS45" s="417">
        <f>'Recycling - Case 2'!BZ115</f>
        <v>0.74152893880336357</v>
      </c>
      <c r="BT45" s="1142">
        <f>'Recycling - Case 2'!CA115</f>
        <v>31.941700142198854</v>
      </c>
      <c r="BU45" s="1102">
        <f>'Recycling - Case 3'!BV115</f>
        <v>82.770683428408063</v>
      </c>
      <c r="BV45" s="417">
        <f>'Recycling - Case 3'!BW115</f>
        <v>0.74152893880336357</v>
      </c>
      <c r="BW45" s="1142">
        <f>'Recycling - Case 3'!BX115</f>
        <v>31.941700142198854</v>
      </c>
      <c r="BX45" s="1101">
        <f>'Recycling - Case 3'!BY115</f>
        <v>82.770683428408063</v>
      </c>
      <c r="BY45" s="417">
        <f>'Recycling - Case 3'!BZ115</f>
        <v>0.74152893880336357</v>
      </c>
      <c r="BZ45" s="1142">
        <f>'Recycling - Case 3'!CA115</f>
        <v>31.941700142198854</v>
      </c>
      <c r="CA45" s="596">
        <v>2035</v>
      </c>
      <c r="CB45" s="649">
        <f>'Recycling - Case 1'!CB115</f>
        <v>0.31069930485615582</v>
      </c>
      <c r="CC45" s="417">
        <f>'Recycling - Case 1'!CC115</f>
        <v>0.36177001643626483</v>
      </c>
      <c r="CD45" s="417">
        <f>'Recycling - Case 1'!CD115</f>
        <v>0.31069930485615582</v>
      </c>
      <c r="CE45" s="525">
        <f>'Recycling - Case 1'!CE115</f>
        <v>0.36177001643626483</v>
      </c>
      <c r="CF45" s="649">
        <f>'Recycling - Case 2'!CB115</f>
        <v>0.34396919974586804</v>
      </c>
      <c r="CG45" s="417">
        <f>'Recycling - Case 2'!CC115</f>
        <v>0.39121596804274272</v>
      </c>
      <c r="CH45" s="417">
        <f>'Recycling - Case 2'!CD115</f>
        <v>0.34396919974586804</v>
      </c>
      <c r="CI45" s="525">
        <f>'Recycling - Case 2'!CE115</f>
        <v>0.39121596804274272</v>
      </c>
      <c r="CJ45" s="649">
        <f>'Recycling - Case 3'!CB115</f>
        <v>0.34396919974586804</v>
      </c>
      <c r="CK45" s="417">
        <f>'Recycling - Case 3'!CC115</f>
        <v>0.39121596804274272</v>
      </c>
      <c r="CL45" s="417">
        <f>'Recycling - Case 3'!CD115</f>
        <v>0.34396919974586804</v>
      </c>
      <c r="CM45" s="525">
        <f>'Recycling - Case 3'!CE115</f>
        <v>0.39121596804274272</v>
      </c>
    </row>
    <row r="46" spans="1:91">
      <c r="A46" s="4">
        <f>'Input data'!A135</f>
        <v>2035</v>
      </c>
      <c r="B46" s="4"/>
      <c r="C46" s="769">
        <f>'4A SWD Case 1'!BG105</f>
        <v>479.01148624321905</v>
      </c>
      <c r="D46" s="3">
        <f>'4B Biological treatment '!T99</f>
        <v>0.83746647205563074</v>
      </c>
      <c r="E46" s="1157">
        <f>'4B Biological treatment '!U99</f>
        <v>37.685991242503377</v>
      </c>
      <c r="F46" s="1157">
        <f>'4B Biological treatment '!W99</f>
        <v>2.2611594745502028</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10059.241211107601</v>
      </c>
      <c r="M46" s="772">
        <f t="shared" si="70"/>
        <v>17.586795913168245</v>
      </c>
      <c r="N46" s="771">
        <f t="shared" si="71"/>
        <v>1492.3652532031338</v>
      </c>
      <c r="O46" s="773">
        <f t="shared" si="72"/>
        <v>157.95115591721603</v>
      </c>
      <c r="P46" s="771">
        <f t="shared" si="73"/>
        <v>5121.7477607728442</v>
      </c>
      <c r="Q46" s="519">
        <f t="shared" si="74"/>
        <v>10059.241211107601</v>
      </c>
      <c r="R46" s="521">
        <f t="shared" si="75"/>
        <v>1509.9520491163021</v>
      </c>
      <c r="S46" s="518">
        <f t="shared" si="76"/>
        <v>157.95115591721603</v>
      </c>
      <c r="T46" s="519">
        <f t="shared" si="77"/>
        <v>5121.7477607728442</v>
      </c>
      <c r="U46" s="519">
        <f t="shared" si="78"/>
        <v>16848.892176913963</v>
      </c>
      <c r="V46" s="3"/>
      <c r="W46" s="596">
        <f t="shared" si="79"/>
        <v>2036</v>
      </c>
      <c r="X46" s="1101">
        <f t="shared" si="80"/>
        <v>9732.6703782736222</v>
      </c>
      <c r="Y46" s="1102">
        <f t="shared" si="81"/>
        <v>1521.3407121490407</v>
      </c>
      <c r="Z46" s="1102">
        <f t="shared" si="82"/>
        <v>147.84395852682215</v>
      </c>
      <c r="AA46" s="1102">
        <f t="shared" si="83"/>
        <v>5197.9991360271206</v>
      </c>
      <c r="AB46" s="1142">
        <f t="shared" si="22"/>
        <v>16599.854184976604</v>
      </c>
      <c r="AC46" s="1423" t="str">
        <f>IF(OR('Recycling - Case 1'!AC116="No",'Recycling - Case 1'!T156="No"), "No", "Yes")</f>
        <v>Yes</v>
      </c>
      <c r="AD46" s="1101">
        <f t="shared" si="84"/>
        <v>9732.6703782736222</v>
      </c>
      <c r="AE46" s="1102">
        <f t="shared" si="85"/>
        <v>1521.3407121490407</v>
      </c>
      <c r="AF46" s="1102">
        <f t="shared" si="86"/>
        <v>147.84395852682215</v>
      </c>
      <c r="AG46" s="1102">
        <f t="shared" si="87"/>
        <v>5197.9991360271206</v>
      </c>
      <c r="AH46" s="1142">
        <f t="shared" si="60"/>
        <v>16599.854184976604</v>
      </c>
      <c r="AI46" s="1423" t="str">
        <f>IF(OR('Recycling - Case 1'!AI27="No",'Recycling - Case 1'!Z156="No"), "No", "Yes")</f>
        <v>Yes</v>
      </c>
      <c r="AJ46" s="1101">
        <f t="shared" si="88"/>
        <v>8961.4678791864935</v>
      </c>
      <c r="AK46" s="1102">
        <f t="shared" si="89"/>
        <v>1521.3407121490407</v>
      </c>
      <c r="AL46" s="1102">
        <f t="shared" si="90"/>
        <v>97.356613290882166</v>
      </c>
      <c r="AM46" s="1102">
        <f t="shared" si="91"/>
        <v>5740.5587570983689</v>
      </c>
      <c r="AN46" s="1142">
        <f t="shared" si="92"/>
        <v>16320.723961724783</v>
      </c>
      <c r="AO46" s="1416" t="str">
        <f>IF(OR('Recycling - Case 2'!AC116="No",'Recycling - Case 2'!T156="No"), "No", "Yes")</f>
        <v>Yes</v>
      </c>
      <c r="AP46" s="1101">
        <f t="shared" si="93"/>
        <v>8961.4678791864935</v>
      </c>
      <c r="AQ46" s="1102">
        <f t="shared" si="94"/>
        <v>1521.3407121490407</v>
      </c>
      <c r="AR46" s="1102">
        <f t="shared" si="95"/>
        <v>97.356613290882166</v>
      </c>
      <c r="AS46" s="1102">
        <f t="shared" si="96"/>
        <v>5740.5587570983689</v>
      </c>
      <c r="AT46" s="1142">
        <f t="shared" si="37"/>
        <v>16320.723961724783</v>
      </c>
      <c r="AU46" s="1423" t="str">
        <f>IF(OR('Recycling - Case 2'!AC116="No",'Recycling - Case 2'!T196="No"), "No", "Yes")</f>
        <v>Yes</v>
      </c>
      <c r="AV46" s="1101">
        <f t="shared" si="63"/>
        <v>8962.4388048715136</v>
      </c>
      <c r="AW46" s="1102">
        <f t="shared" si="64"/>
        <v>923.94236261963351</v>
      </c>
      <c r="AX46" s="1102">
        <f t="shared" si="65"/>
        <v>97.356613290882166</v>
      </c>
      <c r="AY46" s="1102">
        <f t="shared" si="66"/>
        <v>5740.5587570983689</v>
      </c>
      <c r="AZ46" s="1142">
        <f t="shared" si="67"/>
        <v>15724.296537880396</v>
      </c>
      <c r="BA46" s="1423" t="str">
        <f>IF(OR('Recycling - Case 3'!AC116="No",'Recycling - Case 3'!T156="No"), "No", "Yes")</f>
        <v>Yes</v>
      </c>
      <c r="BB46" s="1101">
        <f t="shared" si="97"/>
        <v>8962.4388048715136</v>
      </c>
      <c r="BC46" s="1102">
        <f t="shared" si="98"/>
        <v>923.94236261963351</v>
      </c>
      <c r="BD46" s="1102">
        <f t="shared" si="99"/>
        <v>97.356613290882166</v>
      </c>
      <c r="BE46" s="1102">
        <f t="shared" si="100"/>
        <v>5740.5587570983689</v>
      </c>
      <c r="BF46" s="1142">
        <f t="shared" si="47"/>
        <v>15724.296537880396</v>
      </c>
      <c r="BG46" s="1423" t="str">
        <f>IF(OR('Recycling - Case 3'!AC116="No",'Recycling - Case 3'!T196="No"), "No", "Yes")</f>
        <v>Yes</v>
      </c>
      <c r="BH46" s="596">
        <f t="shared" si="48"/>
        <v>2036</v>
      </c>
      <c r="BI46" s="1102">
        <f>'Recycling - Case 1'!BV116</f>
        <v>84.37544263556687</v>
      </c>
      <c r="BJ46" s="417">
        <f>'Recycling - Case 1'!BW116</f>
        <v>0.62528972805676331</v>
      </c>
      <c r="BK46" s="1142">
        <f>'Recycling - Case 1'!BX116</f>
        <v>22.500187169642892</v>
      </c>
      <c r="BL46" s="1101">
        <f>'Recycling - Case 1'!BY116</f>
        <v>84.37544263556687</v>
      </c>
      <c r="BM46" s="417">
        <f>'Recycling - Case 1'!BZ116</f>
        <v>0.62528972805676331</v>
      </c>
      <c r="BN46" s="1142">
        <f>'Recycling - Case 1'!CA116</f>
        <v>22.500187169642892</v>
      </c>
      <c r="BO46" s="1102">
        <f>'Recycling - Case 2'!BV116</f>
        <v>74.329785258024017</v>
      </c>
      <c r="BP46" s="417">
        <f>'Recycling - Case 2'!BW116</f>
        <v>0.78586312457835339</v>
      </c>
      <c r="BQ46" s="1142">
        <f>'Recycling - Case 2'!BX116</f>
        <v>22.500187169642892</v>
      </c>
      <c r="BR46" s="1101">
        <f>'Recycling - Case 2'!BY116</f>
        <v>74.329785258024017</v>
      </c>
      <c r="BS46" s="417">
        <f>'Recycling - Case 2'!BZ116</f>
        <v>0.78586312457835339</v>
      </c>
      <c r="BT46" s="1142">
        <f>'Recycling - Case 2'!CA116</f>
        <v>22.500187169642892</v>
      </c>
      <c r="BU46" s="1102">
        <f>'Recycling - Case 3'!BV116</f>
        <v>74.329785258024017</v>
      </c>
      <c r="BV46" s="417">
        <f>'Recycling - Case 3'!BW116</f>
        <v>0.78586312457835339</v>
      </c>
      <c r="BW46" s="1142">
        <f>'Recycling - Case 3'!BX116</f>
        <v>22.500187169642892</v>
      </c>
      <c r="BX46" s="1101">
        <f>'Recycling - Case 3'!BY116</f>
        <v>74.329785258024017</v>
      </c>
      <c r="BY46" s="417">
        <f>'Recycling - Case 3'!BZ116</f>
        <v>0.78586312457835339</v>
      </c>
      <c r="BZ46" s="1142">
        <f>'Recycling - Case 3'!CA116</f>
        <v>22.500187169642892</v>
      </c>
      <c r="CA46" s="596">
        <v>2036</v>
      </c>
      <c r="CB46" s="649">
        <f>'Recycling - Case 1'!CB116</f>
        <v>0.32580167937132221</v>
      </c>
      <c r="CC46" s="417">
        <f>'Recycling - Case 1'!CC116</f>
        <v>0.33321823879140899</v>
      </c>
      <c r="CD46" s="417">
        <f>'Recycling - Case 1'!CD116</f>
        <v>0.32580167937132221</v>
      </c>
      <c r="CE46" s="525">
        <f>'Recycling - Case 1'!CE116</f>
        <v>0.33321823879140899</v>
      </c>
      <c r="CF46" s="649">
        <f>'Recycling - Case 2'!CB116</f>
        <v>0.34642074566368197</v>
      </c>
      <c r="CG46" s="417">
        <f>'Recycling - Case 2'!CC116</f>
        <v>0.43072783169761708</v>
      </c>
      <c r="CH46" s="417">
        <f>'Recycling - Case 2'!CD116</f>
        <v>0.34642074566368197</v>
      </c>
      <c r="CI46" s="525">
        <f>'Recycling - Case 2'!CE116</f>
        <v>0.43072783169761708</v>
      </c>
      <c r="CJ46" s="649">
        <f>'Recycling - Case 3'!CB116</f>
        <v>0.34642074566368197</v>
      </c>
      <c r="CK46" s="417">
        <f>'Recycling - Case 3'!CC116</f>
        <v>0.43072783169761708</v>
      </c>
      <c r="CL46" s="417">
        <f>'Recycling - Case 3'!CD116</f>
        <v>0.34642074566368197</v>
      </c>
      <c r="CM46" s="525">
        <f>'Recycling - Case 3'!CE116</f>
        <v>0.43072783169761708</v>
      </c>
    </row>
    <row r="47" spans="1:91">
      <c r="A47" s="4">
        <f>'Input data'!A136</f>
        <v>2036</v>
      </c>
      <c r="B47" s="4"/>
      <c r="C47" s="769">
        <f>'4A SWD Case 1'!BG106</f>
        <v>463.46049420350579</v>
      </c>
      <c r="D47" s="3">
        <f>'4B Biological treatment '!T100</f>
        <v>0.84378297956130932</v>
      </c>
      <c r="E47" s="1157">
        <f>'4B Biological treatment '!U100</f>
        <v>37.970234080258919</v>
      </c>
      <c r="F47" s="1157">
        <f>'4B Biological treatment '!W100</f>
        <v>2.278214044815535</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9732.6703782736222</v>
      </c>
      <c r="M47" s="772">
        <f t="shared" si="70"/>
        <v>17.719442570787496</v>
      </c>
      <c r="N47" s="771">
        <f t="shared" si="71"/>
        <v>1503.6212695782531</v>
      </c>
      <c r="O47" s="773">
        <f t="shared" si="72"/>
        <v>147.84395852682215</v>
      </c>
      <c r="P47" s="771">
        <f t="shared" si="73"/>
        <v>5197.9991360271206</v>
      </c>
      <c r="Q47" s="519">
        <f t="shared" si="74"/>
        <v>9732.6703782736222</v>
      </c>
      <c r="R47" s="521">
        <f t="shared" si="75"/>
        <v>1521.3407121490407</v>
      </c>
      <c r="S47" s="518">
        <f t="shared" si="76"/>
        <v>147.84395852682215</v>
      </c>
      <c r="T47" s="519">
        <f t="shared" si="77"/>
        <v>5197.9991360271206</v>
      </c>
      <c r="U47" s="519">
        <f t="shared" si="78"/>
        <v>16599.854184976604</v>
      </c>
      <c r="V47" s="3"/>
      <c r="W47" s="596">
        <f t="shared" si="79"/>
        <v>2037</v>
      </c>
      <c r="X47" s="1101">
        <f t="shared" si="80"/>
        <v>9449.0619737877023</v>
      </c>
      <c r="Y47" s="1102">
        <f t="shared" si="81"/>
        <v>1534.0662850457779</v>
      </c>
      <c r="Z47" s="1102">
        <f t="shared" si="82"/>
        <v>144.25651033931339</v>
      </c>
      <c r="AA47" s="1102">
        <f t="shared" si="83"/>
        <v>5275.0924855187541</v>
      </c>
      <c r="AB47" s="1142">
        <f t="shared" si="22"/>
        <v>16402.477254691548</v>
      </c>
      <c r="AC47" s="1423" t="str">
        <f>IF(OR('Recycling - Case 1'!AC117="No",'Recycling - Case 1'!T157="No"), "No", "Yes")</f>
        <v>Yes</v>
      </c>
      <c r="AD47" s="1101">
        <f t="shared" si="84"/>
        <v>9449.0619737877023</v>
      </c>
      <c r="AE47" s="1102">
        <f t="shared" si="85"/>
        <v>1534.0662850457779</v>
      </c>
      <c r="AF47" s="1102">
        <f t="shared" si="86"/>
        <v>144.25651033931339</v>
      </c>
      <c r="AG47" s="1102">
        <f t="shared" si="87"/>
        <v>5275.0924855187541</v>
      </c>
      <c r="AH47" s="1142">
        <f t="shared" si="60"/>
        <v>16402.477254691548</v>
      </c>
      <c r="AI47" s="1423" t="str">
        <f>IF(OR('Recycling - Case 1'!AI28="No",'Recycling - Case 1'!Z157="No"), "No", "Yes")</f>
        <v>Yes</v>
      </c>
      <c r="AJ47" s="1101">
        <f t="shared" si="88"/>
        <v>8622.1079986674104</v>
      </c>
      <c r="AK47" s="1102">
        <f t="shared" si="89"/>
        <v>1534.0662850457779</v>
      </c>
      <c r="AL47" s="1102">
        <f t="shared" si="90"/>
        <v>97.11930396370947</v>
      </c>
      <c r="AM47" s="1102">
        <f t="shared" si="91"/>
        <v>5782.5862858160108</v>
      </c>
      <c r="AN47" s="1142">
        <f t="shared" si="92"/>
        <v>16035.879873492908</v>
      </c>
      <c r="AO47" s="1416" t="str">
        <f>IF(OR('Recycling - Case 2'!AC117="No",'Recycling - Case 2'!T157="No"), "No", "Yes")</f>
        <v>Yes</v>
      </c>
      <c r="AP47" s="1101">
        <f t="shared" si="93"/>
        <v>8622.1079986674104</v>
      </c>
      <c r="AQ47" s="1102">
        <f t="shared" si="94"/>
        <v>1534.0662850457779</v>
      </c>
      <c r="AR47" s="1102">
        <f t="shared" si="95"/>
        <v>97.11930396370947</v>
      </c>
      <c r="AS47" s="1102">
        <f t="shared" si="96"/>
        <v>5782.5862858160108</v>
      </c>
      <c r="AT47" s="1142">
        <f t="shared" si="37"/>
        <v>16035.879873492908</v>
      </c>
      <c r="AU47" s="1423" t="str">
        <f>IF(OR('Recycling - Case 2'!AC117="No",'Recycling - Case 2'!T197="No"), "No", "Yes")</f>
        <v>Yes</v>
      </c>
      <c r="AV47" s="1101">
        <f t="shared" si="63"/>
        <v>8623.1413106966011</v>
      </c>
      <c r="AW47" s="1102">
        <f t="shared" si="64"/>
        <v>931.67087194959868</v>
      </c>
      <c r="AX47" s="1102">
        <f t="shared" si="65"/>
        <v>97.11930396370947</v>
      </c>
      <c r="AY47" s="1102">
        <f t="shared" si="66"/>
        <v>5782.5862858160108</v>
      </c>
      <c r="AZ47" s="1142">
        <f t="shared" si="67"/>
        <v>15434.517772425919</v>
      </c>
      <c r="BA47" s="1423" t="str">
        <f>IF(OR('Recycling - Case 3'!AC117="No",'Recycling - Case 3'!T157="No"), "No", "Yes")</f>
        <v>Yes</v>
      </c>
      <c r="BB47" s="1101">
        <f t="shared" si="97"/>
        <v>8623.1413106966011</v>
      </c>
      <c r="BC47" s="1102">
        <f t="shared" si="98"/>
        <v>931.67087194959868</v>
      </c>
      <c r="BD47" s="1102">
        <f t="shared" si="99"/>
        <v>97.11930396370947</v>
      </c>
      <c r="BE47" s="1102">
        <f t="shared" si="100"/>
        <v>5782.5862858160108</v>
      </c>
      <c r="BF47" s="1142">
        <f t="shared" si="47"/>
        <v>15434.517772425919</v>
      </c>
      <c r="BG47" s="1423" t="str">
        <f>IF(OR('Recycling - Case 3'!AC117="No",'Recycling - Case 3'!T197="No"), "No", "Yes")</f>
        <v>Yes</v>
      </c>
      <c r="BH47" s="596">
        <f t="shared" si="48"/>
        <v>2037</v>
      </c>
      <c r="BI47" s="1102">
        <f>'Recycling - Case 1'!BV117</f>
        <v>83.233486564170803</v>
      </c>
      <c r="BJ47" s="417">
        <f>'Recycling - Case 1'!BW117</f>
        <v>0.63284500019170653</v>
      </c>
      <c r="BK47" s="1142">
        <f>'Recycling - Case 1'!BX117</f>
        <v>17.78129721201541</v>
      </c>
      <c r="BL47" s="1101">
        <f>'Recycling - Case 1'!BY117</f>
        <v>83.233486564170803</v>
      </c>
      <c r="BM47" s="417">
        <f>'Recycling - Case 1'!BZ117</f>
        <v>0.63284500019170653</v>
      </c>
      <c r="BN47" s="1142">
        <f>'Recycling - Case 1'!CA117</f>
        <v>17.78129721201541</v>
      </c>
      <c r="BO47" s="1102">
        <f>'Recycling - Case 2'!BV117</f>
        <v>73.342970665209208</v>
      </c>
      <c r="BP47" s="417">
        <f>'Recycling - Case 2'!BW117</f>
        <v>0.78298195694075601</v>
      </c>
      <c r="BQ47" s="1142">
        <f>'Recycling - Case 2'!BX117</f>
        <v>17.78129721201541</v>
      </c>
      <c r="BR47" s="1101">
        <f>'Recycling - Case 2'!BY117</f>
        <v>73.342970665209208</v>
      </c>
      <c r="BS47" s="417">
        <f>'Recycling - Case 2'!BZ117</f>
        <v>0.78298195694075601</v>
      </c>
      <c r="BT47" s="1142">
        <f>'Recycling - Case 2'!CA117</f>
        <v>17.78129721201541</v>
      </c>
      <c r="BU47" s="1102">
        <f>'Recycling - Case 3'!BV117</f>
        <v>73.342970665209208</v>
      </c>
      <c r="BV47" s="417">
        <f>'Recycling - Case 3'!BW117</f>
        <v>0.78298195694075601</v>
      </c>
      <c r="BW47" s="1142">
        <f>'Recycling - Case 3'!BX117</f>
        <v>17.78129721201541</v>
      </c>
      <c r="BX47" s="1101">
        <f>'Recycling - Case 3'!BY117</f>
        <v>73.342970665209208</v>
      </c>
      <c r="BY47" s="417">
        <f>'Recycling - Case 3'!BZ117</f>
        <v>0.78298195694075601</v>
      </c>
      <c r="BZ47" s="1142">
        <f>'Recycling - Case 3'!CA117</f>
        <v>17.78129721201541</v>
      </c>
      <c r="CA47" s="596">
        <v>2037</v>
      </c>
      <c r="CB47" s="649">
        <f>'Recycling - Case 1'!CB117</f>
        <v>0.33280193124638935</v>
      </c>
      <c r="CC47" s="417">
        <f>'Recycling - Case 1'!CC117</f>
        <v>0.32508358104064694</v>
      </c>
      <c r="CD47" s="417">
        <f>'Recycling - Case 1'!CD117</f>
        <v>0.33280193124638935</v>
      </c>
      <c r="CE47" s="525">
        <f>'Recycling - Case 1'!CE117</f>
        <v>0.32508358104064694</v>
      </c>
      <c r="CF47" s="649">
        <f>'Recycling - Case 2'!CB117</f>
        <v>0.34885304461912336</v>
      </c>
      <c r="CG47" s="417">
        <f>'Recycling - Case 2'!CC117</f>
        <v>0.42520403923452976</v>
      </c>
      <c r="CH47" s="417">
        <f>'Recycling - Case 2'!CD117</f>
        <v>0.34885304461912336</v>
      </c>
      <c r="CI47" s="525">
        <f>'Recycling - Case 2'!CE117</f>
        <v>0.42520403923452976</v>
      </c>
      <c r="CJ47" s="649">
        <f>'Recycling - Case 3'!CB117</f>
        <v>0.34885304461912336</v>
      </c>
      <c r="CK47" s="417">
        <f>'Recycling - Case 3'!CC117</f>
        <v>0.42520403923452976</v>
      </c>
      <c r="CL47" s="417">
        <f>'Recycling - Case 3'!CD117</f>
        <v>0.34885304461912336</v>
      </c>
      <c r="CM47" s="525">
        <f>'Recycling - Case 3'!CE117</f>
        <v>0.42520403923452976</v>
      </c>
    </row>
    <row r="48" spans="1:91">
      <c r="A48" s="4">
        <f>'Input data'!A137</f>
        <v>2037</v>
      </c>
      <c r="B48" s="4"/>
      <c r="C48" s="769">
        <f>'4A SWD Case 1'!BG107</f>
        <v>449.95533208512865</v>
      </c>
      <c r="D48" s="3">
        <f>'4B Biological treatment '!T101</f>
        <v>0.85084097894940547</v>
      </c>
      <c r="E48" s="1157">
        <f>'4B Biological treatment '!U101</f>
        <v>38.287844052723237</v>
      </c>
      <c r="F48" s="1157">
        <f>'4B Biological treatment '!W101</f>
        <v>2.2972706431633942</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9449.0619737877023</v>
      </c>
      <c r="M48" s="772">
        <f t="shared" si="70"/>
        <v>17.867660557937516</v>
      </c>
      <c r="N48" s="771">
        <f t="shared" si="71"/>
        <v>1516.1986244878403</v>
      </c>
      <c r="O48" s="773">
        <f t="shared" si="72"/>
        <v>144.25651033931339</v>
      </c>
      <c r="P48" s="771">
        <f t="shared" si="73"/>
        <v>5275.0924855187541</v>
      </c>
      <c r="Q48" s="519">
        <f t="shared" si="74"/>
        <v>9449.0619737877023</v>
      </c>
      <c r="R48" s="521">
        <f t="shared" si="75"/>
        <v>1534.0662850457779</v>
      </c>
      <c r="S48" s="518">
        <f t="shared" si="76"/>
        <v>144.25651033931339</v>
      </c>
      <c r="T48" s="519">
        <f t="shared" si="77"/>
        <v>5275.0924855187541</v>
      </c>
      <c r="U48" s="519">
        <f t="shared" si="78"/>
        <v>16402.477254691548</v>
      </c>
      <c r="V48" s="3"/>
      <c r="W48" s="596">
        <f t="shared" si="79"/>
        <v>2038</v>
      </c>
      <c r="X48" s="1101">
        <f t="shared" si="80"/>
        <v>9192.8272643382079</v>
      </c>
      <c r="Y48" s="1102">
        <f t="shared" si="81"/>
        <v>1546.6975423702181</v>
      </c>
      <c r="Z48" s="1102">
        <f t="shared" si="82"/>
        <v>137.79108332877814</v>
      </c>
      <c r="AA48" s="1102">
        <f t="shared" si="83"/>
        <v>5353.0360506752186</v>
      </c>
      <c r="AB48" s="1142">
        <f t="shared" si="22"/>
        <v>16230.351940712424</v>
      </c>
      <c r="AC48" s="1423" t="str">
        <f>IF(OR('Recycling - Case 1'!AC118="No",'Recycling - Case 1'!T158="No"), "No", "Yes")</f>
        <v>Yes</v>
      </c>
      <c r="AD48" s="1101">
        <f t="shared" si="84"/>
        <v>9192.8272643382079</v>
      </c>
      <c r="AE48" s="1102">
        <f t="shared" si="85"/>
        <v>1546.6975423702181</v>
      </c>
      <c r="AF48" s="1102">
        <f t="shared" si="86"/>
        <v>137.79108332877814</v>
      </c>
      <c r="AG48" s="1102">
        <f t="shared" si="87"/>
        <v>5353.0360506752186</v>
      </c>
      <c r="AH48" s="1142">
        <f t="shared" si="60"/>
        <v>16230.351940712424</v>
      </c>
      <c r="AI48" s="1423" t="str">
        <f>IF(OR('Recycling - Case 1'!AI29="No",'Recycling - Case 1'!Z158="No"), "No", "Yes")</f>
        <v>Yes</v>
      </c>
      <c r="AJ48" s="1101">
        <f t="shared" si="88"/>
        <v>8314.3318727261831</v>
      </c>
      <c r="AK48" s="1102">
        <f t="shared" si="89"/>
        <v>1546.6975423702181</v>
      </c>
      <c r="AL48" s="1102">
        <f t="shared" si="90"/>
        <v>96.88486093946301</v>
      </c>
      <c r="AM48" s="1102">
        <f t="shared" si="91"/>
        <v>5824.9215046462123</v>
      </c>
      <c r="AN48" s="1142">
        <f t="shared" si="92"/>
        <v>15782.835780682077</v>
      </c>
      <c r="AO48" s="1416" t="str">
        <f>IF(OR('Recycling - Case 2'!AC118="No",'Recycling - Case 2'!T158="No"), "No", "Yes")</f>
        <v>Yes</v>
      </c>
      <c r="AP48" s="1101">
        <f t="shared" si="93"/>
        <v>8314.3318727261831</v>
      </c>
      <c r="AQ48" s="1102">
        <f t="shared" si="94"/>
        <v>1546.6975423702181</v>
      </c>
      <c r="AR48" s="1102">
        <f t="shared" si="95"/>
        <v>96.88486093946301</v>
      </c>
      <c r="AS48" s="1102">
        <f t="shared" si="96"/>
        <v>5824.9215046462123</v>
      </c>
      <c r="AT48" s="1142">
        <f t="shared" si="37"/>
        <v>15782.835780682077</v>
      </c>
      <c r="AU48" s="1423" t="str">
        <f>IF(OR('Recycling - Case 2'!AC118="No",'Recycling - Case 2'!T198="No"), "No", "Yes")</f>
        <v>Yes</v>
      </c>
      <c r="AV48" s="1101">
        <f t="shared" si="63"/>
        <v>8315.4248086969801</v>
      </c>
      <c r="AW48" s="1102">
        <f t="shared" si="64"/>
        <v>939.34210143948371</v>
      </c>
      <c r="AX48" s="1102">
        <f t="shared" si="65"/>
        <v>96.88486093946301</v>
      </c>
      <c r="AY48" s="1102">
        <f t="shared" si="66"/>
        <v>5824.9215046462123</v>
      </c>
      <c r="AZ48" s="1142">
        <f t="shared" si="67"/>
        <v>15176.573275722139</v>
      </c>
      <c r="BA48" s="1423" t="str">
        <f>IF(OR('Recycling - Case 3'!AC118="No",'Recycling - Case 3'!T158="No"), "No", "Yes")</f>
        <v>Yes</v>
      </c>
      <c r="BB48" s="1101">
        <f t="shared" si="97"/>
        <v>8315.4248086969801</v>
      </c>
      <c r="BC48" s="1102">
        <f t="shared" si="98"/>
        <v>939.34210143948371</v>
      </c>
      <c r="BD48" s="1102">
        <f t="shared" si="99"/>
        <v>96.88486093946301</v>
      </c>
      <c r="BE48" s="1102">
        <f t="shared" si="100"/>
        <v>5824.9215046462123</v>
      </c>
      <c r="BF48" s="1142">
        <f t="shared" si="47"/>
        <v>15176.573275722139</v>
      </c>
      <c r="BG48" s="1423" t="str">
        <f>IF(OR('Recycling - Case 3'!AC118="No",'Recycling - Case 3'!T198="No"), "No", "Yes")</f>
        <v>Yes</v>
      </c>
      <c r="BH48" s="596">
        <f t="shared" si="48"/>
        <v>2038</v>
      </c>
      <c r="BI48" s="1102">
        <f>'Recycling - Case 1'!BV118</f>
        <v>82.370283389391346</v>
      </c>
      <c r="BJ48" s="417">
        <f>'Recycling - Case 1'!BW118</f>
        <v>0.64236711837615856</v>
      </c>
      <c r="BK48" s="1142">
        <f>'Recycling - Case 1'!BX118</f>
        <v>14.837853800490763</v>
      </c>
      <c r="BL48" s="1101">
        <f>'Recycling - Case 1'!BY118</f>
        <v>82.370283389391346</v>
      </c>
      <c r="BM48" s="417">
        <f>'Recycling - Case 1'!BZ118</f>
        <v>0.64236711837615856</v>
      </c>
      <c r="BN48" s="1142">
        <f>'Recycling - Case 1'!CA118</f>
        <v>14.837853800490763</v>
      </c>
      <c r="BO48" s="1102">
        <f>'Recycling - Case 2'!BV118</f>
        <v>73.060712275477712</v>
      </c>
      <c r="BP48" s="417">
        <f>'Recycling - Case 2'!BW118</f>
        <v>0.78214354240209638</v>
      </c>
      <c r="BQ48" s="1142">
        <f>'Recycling - Case 2'!BX118</f>
        <v>14.837853800490763</v>
      </c>
      <c r="BR48" s="1101">
        <f>'Recycling - Case 2'!BY118</f>
        <v>73.060712275477712</v>
      </c>
      <c r="BS48" s="417">
        <f>'Recycling - Case 2'!BZ118</f>
        <v>0.78214354240209638</v>
      </c>
      <c r="BT48" s="1142">
        <f>'Recycling - Case 2'!CA118</f>
        <v>14.837853800490763</v>
      </c>
      <c r="BU48" s="1102">
        <f>'Recycling - Case 3'!BV118</f>
        <v>73.060712275477712</v>
      </c>
      <c r="BV48" s="417">
        <f>'Recycling - Case 3'!BW118</f>
        <v>0.78214354240209638</v>
      </c>
      <c r="BW48" s="1142">
        <f>'Recycling - Case 3'!BX118</f>
        <v>14.837853800490763</v>
      </c>
      <c r="BX48" s="1101">
        <f>'Recycling - Case 3'!BY118</f>
        <v>73.060712275477712</v>
      </c>
      <c r="BY48" s="417">
        <f>'Recycling - Case 3'!BZ118</f>
        <v>0.78214354240209638</v>
      </c>
      <c r="BZ48" s="1142">
        <f>'Recycling - Case 3'!CA118</f>
        <v>14.837853800490763</v>
      </c>
      <c r="CA48" s="596">
        <v>2038</v>
      </c>
      <c r="CB48" s="649">
        <f>'Recycling - Case 1'!CB118</f>
        <v>0.3432238595609628</v>
      </c>
      <c r="CC48" s="417">
        <f>'Recycling - Case 1'!CC118</f>
        <v>0.32527933662439845</v>
      </c>
      <c r="CD48" s="417">
        <f>'Recycling - Case 1'!CD118</f>
        <v>0.3432238595609628</v>
      </c>
      <c r="CE48" s="525">
        <f>'Recycling - Case 1'!CE118</f>
        <v>0.32527933662439845</v>
      </c>
      <c r="CF48" s="649">
        <f>'Recycling - Case 2'!CB118</f>
        <v>0.35126626747362921</v>
      </c>
      <c r="CG48" s="417">
        <f>'Recycling - Case 2'!CC118</f>
        <v>0.42276904897106915</v>
      </c>
      <c r="CH48" s="417">
        <f>'Recycling - Case 2'!CD118</f>
        <v>0.35126626747362921</v>
      </c>
      <c r="CI48" s="525">
        <f>'Recycling - Case 2'!CE118</f>
        <v>0.42276904897106915</v>
      </c>
      <c r="CJ48" s="649">
        <f>'Recycling - Case 3'!CB118</f>
        <v>0.35126626747362921</v>
      </c>
      <c r="CK48" s="417">
        <f>'Recycling - Case 3'!CC118</f>
        <v>0.42276904897106915</v>
      </c>
      <c r="CL48" s="417">
        <f>'Recycling - Case 3'!CD118</f>
        <v>0.35126626747362921</v>
      </c>
      <c r="CM48" s="525">
        <f>'Recycling - Case 3'!CE118</f>
        <v>0.42276904897106915</v>
      </c>
    </row>
    <row r="49" spans="1:91">
      <c r="A49" s="4">
        <f>'Input data'!A138</f>
        <v>2038</v>
      </c>
      <c r="B49" s="4"/>
      <c r="C49" s="769">
        <f>'4A SWD Case 1'!BG108</f>
        <v>437.75367925420039</v>
      </c>
      <c r="D49" s="3">
        <f>'4B Biological treatment '!T102</f>
        <v>0.85784666798126374</v>
      </c>
      <c r="E49" s="1157">
        <f>'4B Biological treatment '!U102</f>
        <v>38.603100059156858</v>
      </c>
      <c r="F49" s="1157">
        <f>'4B Biological treatment '!W102</f>
        <v>2.3161860035494115</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9192.8272643382079</v>
      </c>
      <c r="M49" s="772">
        <f t="shared" si="70"/>
        <v>18.014780027606538</v>
      </c>
      <c r="N49" s="771">
        <f t="shared" si="71"/>
        <v>1528.6827623426116</v>
      </c>
      <c r="O49" s="773">
        <f t="shared" si="72"/>
        <v>137.79108332877814</v>
      </c>
      <c r="P49" s="771">
        <f t="shared" si="73"/>
        <v>5353.0360506752186</v>
      </c>
      <c r="Q49" s="519">
        <f t="shared" si="74"/>
        <v>9192.8272643382079</v>
      </c>
      <c r="R49" s="521">
        <f t="shared" si="75"/>
        <v>1546.6975423702181</v>
      </c>
      <c r="S49" s="518">
        <f t="shared" si="76"/>
        <v>137.79108332877814</v>
      </c>
      <c r="T49" s="519">
        <f t="shared" si="77"/>
        <v>5353.0360506752186</v>
      </c>
      <c r="U49" s="519">
        <f t="shared" si="78"/>
        <v>16230.351940712424</v>
      </c>
      <c r="V49" s="3"/>
      <c r="W49" s="596">
        <f t="shared" si="79"/>
        <v>2039</v>
      </c>
      <c r="X49" s="1101">
        <f t="shared" si="80"/>
        <v>8952.9025631140412</v>
      </c>
      <c r="Y49" s="1102">
        <f t="shared" si="81"/>
        <v>1559.9829496906668</v>
      </c>
      <c r="Z49" s="1102">
        <f t="shared" si="82"/>
        <v>131.35405873525082</v>
      </c>
      <c r="AA49" s="1102">
        <f t="shared" si="83"/>
        <v>5431.8381484682886</v>
      </c>
      <c r="AB49" s="1142">
        <f t="shared" si="22"/>
        <v>16076.077720008247</v>
      </c>
      <c r="AC49" s="1423" t="str">
        <f>IF(OR('Recycling - Case 1'!AC119="No",'Recycling - Case 1'!T159="No"), "No", "Yes")</f>
        <v>Yes</v>
      </c>
      <c r="AD49" s="1101">
        <f t="shared" si="84"/>
        <v>8952.9025631140412</v>
      </c>
      <c r="AE49" s="1102">
        <f t="shared" si="85"/>
        <v>1559.9829496906668</v>
      </c>
      <c r="AF49" s="1102">
        <f t="shared" si="86"/>
        <v>131.35405873525082</v>
      </c>
      <c r="AG49" s="1102">
        <f t="shared" si="87"/>
        <v>5431.8381484682886</v>
      </c>
      <c r="AH49" s="1142">
        <f t="shared" si="60"/>
        <v>16076.077720008247</v>
      </c>
      <c r="AI49" s="1423" t="str">
        <f>IF(OR('Recycling - Case 1'!AI30="No",'Recycling - Case 1'!Z159="No"), "No", "Yes")</f>
        <v>Yes</v>
      </c>
      <c r="AJ49" s="1101">
        <f t="shared" si="88"/>
        <v>8031.2069973134085</v>
      </c>
      <c r="AK49" s="1102">
        <f t="shared" si="89"/>
        <v>1559.9829496906668</v>
      </c>
      <c r="AL49" s="1102">
        <f t="shared" si="90"/>
        <v>96.653238724891821</v>
      </c>
      <c r="AM49" s="1102">
        <f t="shared" si="91"/>
        <v>5867.5666662364183</v>
      </c>
      <c r="AN49" s="1142">
        <f t="shared" si="92"/>
        <v>15555.409851965385</v>
      </c>
      <c r="AO49" s="1416" t="str">
        <f>IF(OR('Recycling - Case 2'!AC119="No",'Recycling - Case 2'!T159="No"), "No", "Yes")</f>
        <v>Yes</v>
      </c>
      <c r="AP49" s="1101">
        <f t="shared" si="93"/>
        <v>8031.2069973134085</v>
      </c>
      <c r="AQ49" s="1102">
        <f t="shared" si="94"/>
        <v>1559.9829496906668</v>
      </c>
      <c r="AR49" s="1102">
        <f t="shared" si="95"/>
        <v>96.653238724891821</v>
      </c>
      <c r="AS49" s="1102">
        <f t="shared" si="96"/>
        <v>5867.5666662364183</v>
      </c>
      <c r="AT49" s="1142">
        <f t="shared" si="37"/>
        <v>15555.409851965385</v>
      </c>
      <c r="AU49" s="1423" t="str">
        <f>IF(OR('Recycling - Case 2'!AC119="No",'Recycling - Case 2'!T199="No"), "No", "Yes")</f>
        <v>Yes</v>
      </c>
      <c r="AV49" s="1101">
        <f t="shared" si="63"/>
        <v>8032.3569620675407</v>
      </c>
      <c r="AW49" s="1102">
        <f t="shared" si="64"/>
        <v>947.41061004508049</v>
      </c>
      <c r="AX49" s="1102">
        <f t="shared" si="65"/>
        <v>96.653238724891821</v>
      </c>
      <c r="AY49" s="1102">
        <f t="shared" si="66"/>
        <v>5867.5666662364183</v>
      </c>
      <c r="AZ49" s="1142">
        <f t="shared" si="67"/>
        <v>14943.987477073932</v>
      </c>
      <c r="BA49" s="1423" t="str">
        <f>IF(OR('Recycling - Case 3'!AC119="No",'Recycling - Case 3'!T159="No"), "No", "Yes")</f>
        <v>Yes</v>
      </c>
      <c r="BB49" s="1101">
        <f t="shared" si="97"/>
        <v>8032.3569620675407</v>
      </c>
      <c r="BC49" s="1102">
        <f t="shared" si="98"/>
        <v>947.41061004508049</v>
      </c>
      <c r="BD49" s="1102">
        <f t="shared" si="99"/>
        <v>96.653238724891821</v>
      </c>
      <c r="BE49" s="1102">
        <f t="shared" si="100"/>
        <v>5867.5666662364183</v>
      </c>
      <c r="BF49" s="1142">
        <f t="shared" si="47"/>
        <v>14943.987477073932</v>
      </c>
      <c r="BG49" s="1423" t="str">
        <f>IF(OR('Recycling - Case 3'!AC119="No",'Recycling - Case 3'!T199="No"), "No", "Yes")</f>
        <v>Yes</v>
      </c>
      <c r="BH49" s="596">
        <f t="shared" si="48"/>
        <v>2039</v>
      </c>
      <c r="BI49" s="1102">
        <f>'Recycling - Case 1'!BV119</f>
        <v>81.5832751582317</v>
      </c>
      <c r="BJ49" s="417">
        <f>'Recycling - Case 1'!BW119</f>
        <v>0.65201466898167093</v>
      </c>
      <c r="BK49" s="1142">
        <f>'Recycling - Case 1'!BX119</f>
        <v>11.894410388966124</v>
      </c>
      <c r="BL49" s="1101">
        <f>'Recycling - Case 1'!BY119</f>
        <v>81.5832751582317</v>
      </c>
      <c r="BM49" s="417">
        <f>'Recycling - Case 1'!BZ119</f>
        <v>0.65201466898167093</v>
      </c>
      <c r="BN49" s="1142">
        <f>'Recycling - Case 1'!CA119</f>
        <v>11.894410388966124</v>
      </c>
      <c r="BO49" s="1102">
        <f>'Recycling - Case 2'!BV119</f>
        <v>72.821773820790554</v>
      </c>
      <c r="BP49" s="417">
        <f>'Recycling - Case 2'!BW119</f>
        <v>0.78142872480578029</v>
      </c>
      <c r="BQ49" s="1142">
        <f>'Recycling - Case 2'!BX119</f>
        <v>11.894410388966124</v>
      </c>
      <c r="BR49" s="1101">
        <f>'Recycling - Case 2'!BY119</f>
        <v>72.821773820790554</v>
      </c>
      <c r="BS49" s="417">
        <f>'Recycling - Case 2'!BZ119</f>
        <v>0.78142872480578029</v>
      </c>
      <c r="BT49" s="1142">
        <f>'Recycling - Case 2'!CA119</f>
        <v>11.894410388966124</v>
      </c>
      <c r="BU49" s="1102">
        <f>'Recycling - Case 3'!BV119</f>
        <v>72.821773820790554</v>
      </c>
      <c r="BV49" s="417">
        <f>'Recycling - Case 3'!BW119</f>
        <v>0.78142872480578029</v>
      </c>
      <c r="BW49" s="1142">
        <f>'Recycling - Case 3'!BX119</f>
        <v>11.894410388966124</v>
      </c>
      <c r="BX49" s="1101">
        <f>'Recycling - Case 3'!BY119</f>
        <v>72.821773820790554</v>
      </c>
      <c r="BY49" s="417">
        <f>'Recycling - Case 3'!BZ119</f>
        <v>0.78142872480578029</v>
      </c>
      <c r="BZ49" s="1142">
        <f>'Recycling - Case 3'!CA119</f>
        <v>11.894410388966124</v>
      </c>
      <c r="CA49" s="596">
        <v>2039</v>
      </c>
      <c r="CB49" s="649">
        <f>'Recycling - Case 1'!CB119</f>
        <v>0.35350649570399229</v>
      </c>
      <c r="CC49" s="417">
        <f>'Recycling - Case 1'!CC119</f>
        <v>0.32539461288885452</v>
      </c>
      <c r="CD49" s="417">
        <f>'Recycling - Case 1'!CD119</f>
        <v>0.35350649570399229</v>
      </c>
      <c r="CE49" s="525">
        <f>'Recycling - Case 1'!CE119</f>
        <v>0.32539461288885452</v>
      </c>
      <c r="CF49" s="649">
        <f>'Recycling - Case 2'!CB119</f>
        <v>0.35366058307858594</v>
      </c>
      <c r="CG49" s="417">
        <f>'Recycling - Case 2'!CC119</f>
        <v>0.42044808956748159</v>
      </c>
      <c r="CH49" s="417">
        <f>'Recycling - Case 2'!CD119</f>
        <v>0.35366058307858594</v>
      </c>
      <c r="CI49" s="525">
        <f>'Recycling - Case 2'!CE119</f>
        <v>0.42044808956748159</v>
      </c>
      <c r="CJ49" s="649">
        <f>'Recycling - Case 3'!CB119</f>
        <v>0.35366058307858594</v>
      </c>
      <c r="CK49" s="417">
        <f>'Recycling - Case 3'!CC119</f>
        <v>0.42044808956748159</v>
      </c>
      <c r="CL49" s="417">
        <f>'Recycling - Case 3'!CD119</f>
        <v>0.35366058307858594</v>
      </c>
      <c r="CM49" s="525">
        <f>'Recycling - Case 3'!CE119</f>
        <v>0.42044808956748159</v>
      </c>
    </row>
    <row r="50" spans="1:91">
      <c r="A50" s="4">
        <f>'Input data'!A139</f>
        <v>2039</v>
      </c>
      <c r="B50" s="4"/>
      <c r="C50" s="769">
        <f>'4A SWD Case 1'!BG109</f>
        <v>426.32869348162097</v>
      </c>
      <c r="D50" s="3">
        <f>'4B Biological treatment '!T103</f>
        <v>0.8652151689909412</v>
      </c>
      <c r="E50" s="1157">
        <f>'4B Biological treatment '!U103</f>
        <v>38.934682604592346</v>
      </c>
      <c r="F50" s="1157">
        <f>'4B Biological treatment '!W103</f>
        <v>2.3360809562755409</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8952.9025631140412</v>
      </c>
      <c r="M50" s="772">
        <f t="shared" si="70"/>
        <v>18.169518548809766</v>
      </c>
      <c r="N50" s="771">
        <f t="shared" si="71"/>
        <v>1541.8134311418571</v>
      </c>
      <c r="O50" s="773">
        <f t="shared" si="72"/>
        <v>131.35405873525082</v>
      </c>
      <c r="P50" s="771">
        <f t="shared" si="73"/>
        <v>5431.8381484682886</v>
      </c>
      <c r="Q50" s="519">
        <f t="shared" si="74"/>
        <v>8952.9025631140412</v>
      </c>
      <c r="R50" s="521">
        <f t="shared" si="75"/>
        <v>1559.9829496906668</v>
      </c>
      <c r="S50" s="518">
        <f t="shared" si="76"/>
        <v>131.35405873525082</v>
      </c>
      <c r="T50" s="519">
        <f t="shared" si="77"/>
        <v>5431.8381484682886</v>
      </c>
      <c r="U50" s="519">
        <f t="shared" si="78"/>
        <v>16076.077720008247</v>
      </c>
      <c r="V50" s="3"/>
      <c r="W50" s="596">
        <f t="shared" si="79"/>
        <v>2040</v>
      </c>
      <c r="X50" s="1101">
        <f t="shared" si="80"/>
        <v>8728.6861229986353</v>
      </c>
      <c r="Y50" s="1102">
        <f t="shared" si="81"/>
        <v>1573.4365376598453</v>
      </c>
      <c r="Z50" s="1102">
        <f t="shared" si="82"/>
        <v>124.94496389699975</v>
      </c>
      <c r="AA50" s="1102">
        <f t="shared" si="83"/>
        <v>5511.507172078449</v>
      </c>
      <c r="AB50" s="1142">
        <f t="shared" si="22"/>
        <v>15938.57479663393</v>
      </c>
      <c r="AC50" s="1423" t="str">
        <f>IF(OR('Recycling - Case 1'!AC120="No",'Recycling - Case 1'!T160="No"), "No", "Yes")</f>
        <v>Yes</v>
      </c>
      <c r="AD50" s="1101">
        <f t="shared" si="84"/>
        <v>8728.6861229986353</v>
      </c>
      <c r="AE50" s="1102">
        <f t="shared" si="85"/>
        <v>1573.4365376598453</v>
      </c>
      <c r="AF50" s="1102">
        <f t="shared" si="86"/>
        <v>124.94496389699975</v>
      </c>
      <c r="AG50" s="1102">
        <f t="shared" si="87"/>
        <v>5511.507172078449</v>
      </c>
      <c r="AH50" s="1142">
        <f t="shared" si="60"/>
        <v>15938.57479663393</v>
      </c>
      <c r="AI50" s="1423" t="str">
        <f>IF(OR('Recycling - Case 1'!AI31="No",'Recycling - Case 1'!Z160="No"), "No", "Yes")</f>
        <v>Yes</v>
      </c>
      <c r="AJ50" s="1101">
        <f t="shared" si="88"/>
        <v>7771.6726857484191</v>
      </c>
      <c r="AK50" s="1102">
        <f t="shared" si="89"/>
        <v>1573.4365376598453</v>
      </c>
      <c r="AL50" s="1102">
        <f t="shared" si="90"/>
        <v>96.424392766634725</v>
      </c>
      <c r="AM50" s="1102">
        <f t="shared" si="91"/>
        <v>5910.5240397260632</v>
      </c>
      <c r="AN50" s="1142">
        <f t="shared" si="92"/>
        <v>15352.057655900961</v>
      </c>
      <c r="AO50" s="1416" t="str">
        <f>IF(OR('Recycling - Case 2'!AC120="No",'Recycling - Case 2'!T160="No"), "No", "Yes")</f>
        <v>Yes</v>
      </c>
      <c r="AP50" s="1101">
        <f t="shared" si="93"/>
        <v>7771.6726857484191</v>
      </c>
      <c r="AQ50" s="1102">
        <f t="shared" si="94"/>
        <v>1573.4365376598453</v>
      </c>
      <c r="AR50" s="1102">
        <f t="shared" si="95"/>
        <v>96.424392766634725</v>
      </c>
      <c r="AS50" s="1102">
        <f t="shared" si="96"/>
        <v>5910.5240397260632</v>
      </c>
      <c r="AT50" s="1142">
        <f t="shared" si="37"/>
        <v>15352.057655900961</v>
      </c>
      <c r="AU50" s="1423" t="str">
        <f>IF(OR('Recycling - Case 2'!AC120="No",'Recycling - Case 2'!T200="No"), "No", "Yes")</f>
        <v>Yes</v>
      </c>
      <c r="AV50" s="1101">
        <f t="shared" si="63"/>
        <v>7772.8772416790343</v>
      </c>
      <c r="AW50" s="1102">
        <f t="shared" si="64"/>
        <v>955.58125831255165</v>
      </c>
      <c r="AX50" s="1102">
        <f t="shared" si="65"/>
        <v>96.424392766634725</v>
      </c>
      <c r="AY50" s="1102">
        <f t="shared" si="66"/>
        <v>5910.5240397260632</v>
      </c>
      <c r="AZ50" s="1142">
        <f t="shared" si="67"/>
        <v>14735.406932484282</v>
      </c>
      <c r="BA50" s="1423" t="str">
        <f>IF(OR('Recycling - Case 3'!AC120="No",'Recycling - Case 3'!T160="No"), "No", "Yes")</f>
        <v>Yes</v>
      </c>
      <c r="BB50" s="1101">
        <f t="shared" si="97"/>
        <v>7772.8772416790343</v>
      </c>
      <c r="BC50" s="1102">
        <f t="shared" si="98"/>
        <v>955.58125831255165</v>
      </c>
      <c r="BD50" s="1102">
        <f t="shared" si="99"/>
        <v>96.424392766634725</v>
      </c>
      <c r="BE50" s="1102">
        <f t="shared" si="100"/>
        <v>5910.5240397260632</v>
      </c>
      <c r="BF50" s="1142">
        <f t="shared" si="47"/>
        <v>14735.406932484282</v>
      </c>
      <c r="BG50" s="1423" t="str">
        <f>IF(OR('Recycling - Case 3'!AC120="No",'Recycling - Case 3'!T200="No"), "No", "Yes")</f>
        <v>Yes</v>
      </c>
      <c r="BH50" s="596">
        <f t="shared" si="48"/>
        <v>2040</v>
      </c>
      <c r="BI50" s="1102">
        <f>'Recycling - Case 1'!BV120</f>
        <v>80.839538484890866</v>
      </c>
      <c r="BJ50" s="417">
        <f>'Recycling - Case 1'!BW120</f>
        <v>0.66164047894984246</v>
      </c>
      <c r="BK50" s="1142">
        <f>'Recycling - Case 1'!BX120</f>
        <v>8.95096697744148</v>
      </c>
      <c r="BL50" s="1101">
        <f>'Recycling - Case 1'!BY120</f>
        <v>80.839538484890866</v>
      </c>
      <c r="BM50" s="417">
        <f>'Recycling - Case 1'!BZ120</f>
        <v>0.66164047894984246</v>
      </c>
      <c r="BN50" s="1142">
        <f>'Recycling - Case 1'!CA120</f>
        <v>8.95096697744148</v>
      </c>
      <c r="BO50" s="1102">
        <f>'Recycling - Case 2'!BV120</f>
        <v>72.59438326106077</v>
      </c>
      <c r="BP50" s="417">
        <f>'Recycling - Case 2'!BW120</f>
        <v>0.78074408444691767</v>
      </c>
      <c r="BQ50" s="1142">
        <f>'Recycling - Case 2'!BX120</f>
        <v>8.95096697744148</v>
      </c>
      <c r="BR50" s="1101">
        <f>'Recycling - Case 2'!BY120</f>
        <v>72.59438326106077</v>
      </c>
      <c r="BS50" s="417">
        <f>'Recycling - Case 2'!BZ120</f>
        <v>0.78074408444691767</v>
      </c>
      <c r="BT50" s="1142">
        <f>'Recycling - Case 2'!CA120</f>
        <v>8.95096697744148</v>
      </c>
      <c r="BU50" s="1102">
        <f>'Recycling - Case 3'!BV120</f>
        <v>72.59438326106077</v>
      </c>
      <c r="BV50" s="417">
        <f>'Recycling - Case 3'!BW120</f>
        <v>0.78074408444691767</v>
      </c>
      <c r="BW50" s="1142">
        <f>'Recycling - Case 3'!BX120</f>
        <v>8.95096697744148</v>
      </c>
      <c r="BX50" s="1101">
        <f>'Recycling - Case 3'!BY120</f>
        <v>72.59438326106077</v>
      </c>
      <c r="BY50" s="417">
        <f>'Recycling - Case 3'!BZ120</f>
        <v>0.78074408444691767</v>
      </c>
      <c r="BZ50" s="1142">
        <f>'Recycling - Case 3'!CA120</f>
        <v>8.95096697744148</v>
      </c>
      <c r="CA50" s="596">
        <v>2040</v>
      </c>
      <c r="CB50" s="649">
        <f>'Recycling - Case 1'!CB120</f>
        <v>0.36365151761921655</v>
      </c>
      <c r="CC50" s="417">
        <f>'Recycling - Case 1'!CC120</f>
        <v>0.32523625555257951</v>
      </c>
      <c r="CD50" s="417">
        <f>'Recycling - Case 1'!CD120</f>
        <v>0.36365151761921655</v>
      </c>
      <c r="CE50" s="525">
        <f>'Recycling - Case 1'!CE120</f>
        <v>0.32523625555257951</v>
      </c>
      <c r="CF50" s="649">
        <f>'Recycling - Case 2'!CB120</f>
        <v>0.3560361583119136</v>
      </c>
      <c r="CG50" s="417">
        <f>'Recycling - Case 2'!CC120</f>
        <v>0.41812510147014614</v>
      </c>
      <c r="CH50" s="417">
        <f>'Recycling - Case 2'!CD120</f>
        <v>0.3560361583119136</v>
      </c>
      <c r="CI50" s="525">
        <f>'Recycling - Case 2'!CE120</f>
        <v>0.41812510147014614</v>
      </c>
      <c r="CJ50" s="649">
        <f>'Recycling - Case 3'!CB120</f>
        <v>0.3560361583119136</v>
      </c>
      <c r="CK50" s="417">
        <f>'Recycling - Case 3'!CC120</f>
        <v>0.41812510147014614</v>
      </c>
      <c r="CL50" s="417">
        <f>'Recycling - Case 3'!CD120</f>
        <v>0.3560361583119136</v>
      </c>
      <c r="CM50" s="525">
        <f>'Recycling - Case 3'!CE120</f>
        <v>0.41812510147014614</v>
      </c>
    </row>
    <row r="51" spans="1:91">
      <c r="A51" s="4">
        <f>'Input data'!A140</f>
        <v>2040</v>
      </c>
      <c r="B51" s="4"/>
      <c r="C51" s="769">
        <f>'4A SWD Case 1'!BG110</f>
        <v>415.65172014279216</v>
      </c>
      <c r="D51" s="3">
        <f>'4B Biological treatment '!T104</f>
        <v>0.8726769482306409</v>
      </c>
      <c r="E51" s="1157">
        <f>'4B Biological treatment '!U104</f>
        <v>39.270462670378834</v>
      </c>
      <c r="F51" s="1157">
        <f>'4B Biological treatment '!W104</f>
        <v>2.3562277602227302</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8728.6861229986353</v>
      </c>
      <c r="M51" s="772">
        <f t="shared" si="70"/>
        <v>18.326215912843459</v>
      </c>
      <c r="N51" s="771">
        <f t="shared" si="71"/>
        <v>1555.1103217470018</v>
      </c>
      <c r="O51" s="773">
        <f t="shared" si="72"/>
        <v>124.94496389699975</v>
      </c>
      <c r="P51" s="771">
        <f t="shared" si="73"/>
        <v>5511.507172078449</v>
      </c>
      <c r="Q51" s="519">
        <f t="shared" si="74"/>
        <v>8728.6861229986353</v>
      </c>
      <c r="R51" s="521">
        <f t="shared" si="75"/>
        <v>1573.4365376598453</v>
      </c>
      <c r="S51" s="518">
        <f t="shared" si="76"/>
        <v>124.94496389699975</v>
      </c>
      <c r="T51" s="519">
        <f t="shared" si="77"/>
        <v>5511.507172078449</v>
      </c>
      <c r="U51" s="519">
        <f t="shared" si="78"/>
        <v>15938.57479663393</v>
      </c>
      <c r="V51" s="3"/>
      <c r="W51" s="596">
        <f t="shared" si="79"/>
        <v>2041</v>
      </c>
      <c r="X51" s="1101">
        <f t="shared" si="80"/>
        <v>8519.5778944258964</v>
      </c>
      <c r="Y51" s="1102">
        <f t="shared" si="81"/>
        <v>1588.2368310322743</v>
      </c>
      <c r="Z51" s="1102">
        <f t="shared" si="82"/>
        <v>118.59896220497515</v>
      </c>
      <c r="AA51" s="1102">
        <f t="shared" si="83"/>
        <v>5585.8882679954158</v>
      </c>
      <c r="AB51" s="1142">
        <f t="shared" si="22"/>
        <v>15812.30195565856</v>
      </c>
      <c r="AC51" s="1423" t="str">
        <f>IF(OR('Recycling - Case 1'!AC121="No",'Recycling - Case 1'!T161="No"), "No", "Yes")</f>
        <v>Yes</v>
      </c>
      <c r="AD51" s="1101">
        <f t="shared" si="84"/>
        <v>8519.5778944258964</v>
      </c>
      <c r="AE51" s="1102">
        <f t="shared" si="85"/>
        <v>1588.2368310322743</v>
      </c>
      <c r="AF51" s="1102">
        <f t="shared" si="86"/>
        <v>118.59896220497515</v>
      </c>
      <c r="AG51" s="1102">
        <f t="shared" si="87"/>
        <v>5585.8882679954158</v>
      </c>
      <c r="AH51" s="1142">
        <f t="shared" si="60"/>
        <v>15812.30195565856</v>
      </c>
      <c r="AI51" s="1423" t="str">
        <f>IF(OR('Recycling - Case 1'!AI32="No",'Recycling - Case 1'!Z161="No"), "No", "Yes")</f>
        <v>Yes</v>
      </c>
      <c r="AJ51" s="1101">
        <f t="shared" si="88"/>
        <v>7534.7072337743411</v>
      </c>
      <c r="AK51" s="1102">
        <f t="shared" si="89"/>
        <v>1588.2368310322743</v>
      </c>
      <c r="AL51" s="1102">
        <f t="shared" si="90"/>
        <v>96.232289152450377</v>
      </c>
      <c r="AM51" s="1102">
        <f t="shared" si="91"/>
        <v>5947.2338879558556</v>
      </c>
      <c r="AN51" s="1142">
        <f t="shared" si="92"/>
        <v>15166.410241914922</v>
      </c>
      <c r="AO51" s="1416" t="str">
        <f>IF(OR('Recycling - Case 2'!AC121="No",'Recycling - Case 2'!T161="No"), "No", "Yes")</f>
        <v>Yes</v>
      </c>
      <c r="AP51" s="1101">
        <f t="shared" si="93"/>
        <v>7534.7072337743411</v>
      </c>
      <c r="AQ51" s="1102">
        <f t="shared" si="94"/>
        <v>1588.2368310322743</v>
      </c>
      <c r="AR51" s="1102">
        <f t="shared" si="95"/>
        <v>96.232289152450377</v>
      </c>
      <c r="AS51" s="1102">
        <f t="shared" si="96"/>
        <v>5947.2338879558556</v>
      </c>
      <c r="AT51" s="1142">
        <f t="shared" si="37"/>
        <v>15166.410241914922</v>
      </c>
      <c r="AU51" s="1423" t="str">
        <f>IF(OR('Recycling - Case 2'!AC121="No",'Recycling - Case 2'!T201="No"), "No", "Yes")</f>
        <v>Yes</v>
      </c>
      <c r="AV51" s="1101">
        <f t="shared" si="63"/>
        <v>7535.9640916979361</v>
      </c>
      <c r="AW51" s="1102">
        <f t="shared" si="64"/>
        <v>964.56978922925146</v>
      </c>
      <c r="AX51" s="1102">
        <f t="shared" si="65"/>
        <v>96.232289152450349</v>
      </c>
      <c r="AY51" s="1102">
        <f t="shared" si="66"/>
        <v>5947.2338879558556</v>
      </c>
      <c r="AZ51" s="1142">
        <f t="shared" si="67"/>
        <v>14544.000058035494</v>
      </c>
      <c r="BA51" s="1423" t="str">
        <f>IF(OR('Recycling - Case 3'!AC121="No",'Recycling - Case 3'!T161="No"), "No", "Yes")</f>
        <v>Yes</v>
      </c>
      <c r="BB51" s="1101">
        <f t="shared" si="97"/>
        <v>7535.9640916979361</v>
      </c>
      <c r="BC51" s="1102">
        <f t="shared" si="98"/>
        <v>964.56978922925146</v>
      </c>
      <c r="BD51" s="1102">
        <f t="shared" si="99"/>
        <v>96.232289152450349</v>
      </c>
      <c r="BE51" s="1102">
        <f t="shared" si="100"/>
        <v>5947.2338879558556</v>
      </c>
      <c r="BF51" s="1142">
        <f t="shared" si="47"/>
        <v>14544.000058035494</v>
      </c>
      <c r="BG51" s="1423" t="str">
        <f>IF(OR('Recycling - Case 3'!AC121="No",'Recycling - Case 3'!T201="No"), "No", "Yes")</f>
        <v>Yes</v>
      </c>
      <c r="BH51" s="596">
        <f t="shared" si="48"/>
        <v>2041</v>
      </c>
      <c r="BI51" s="1102">
        <f>'Recycling - Case 1'!BV121</f>
        <v>80.021951089495786</v>
      </c>
      <c r="BJ51" s="417">
        <f>'Recycling - Case 1'!BW121</f>
        <v>0.6765639058853774</v>
      </c>
      <c r="BK51" s="1142">
        <f>'Recycling - Case 1'!BX121</f>
        <v>7.4084275294165494</v>
      </c>
      <c r="BL51" s="1101">
        <f>'Recycling - Case 1'!BY121</f>
        <v>80.021951089495786</v>
      </c>
      <c r="BM51" s="417">
        <f>'Recycling - Case 1'!BZ121</f>
        <v>0.6765639058853774</v>
      </c>
      <c r="BN51" s="1142">
        <f>'Recycling - Case 1'!CA121</f>
        <v>7.4084275294165494</v>
      </c>
      <c r="BO51" s="1102">
        <f>'Recycling - Case 2'!BV121</f>
        <v>73.005214793773106</v>
      </c>
      <c r="BP51" s="417">
        <f>'Recycling - Case 2'!BW121</f>
        <v>0.78197793115358616</v>
      </c>
      <c r="BQ51" s="1142">
        <f>'Recycling - Case 2'!BX121</f>
        <v>7.4084275294165494</v>
      </c>
      <c r="BR51" s="1101">
        <f>'Recycling - Case 2'!BY121</f>
        <v>73.005214793773106</v>
      </c>
      <c r="BS51" s="417">
        <f>'Recycling - Case 2'!BZ121</f>
        <v>0.78197793115358616</v>
      </c>
      <c r="BT51" s="1142">
        <f>'Recycling - Case 2'!CA121</f>
        <v>7.4084275294165494</v>
      </c>
      <c r="BU51" s="1102">
        <f>'Recycling - Case 3'!BV121</f>
        <v>73.005214793773106</v>
      </c>
      <c r="BV51" s="417">
        <f>'Recycling - Case 3'!BW121</f>
        <v>0.78197793115358616</v>
      </c>
      <c r="BW51" s="1142">
        <f>'Recycling - Case 3'!BX121</f>
        <v>7.4084275294165494</v>
      </c>
      <c r="BX51" s="1101">
        <f>'Recycling - Case 3'!BY121</f>
        <v>73.005214793773106</v>
      </c>
      <c r="BY51" s="417">
        <f>'Recycling - Case 3'!BZ121</f>
        <v>0.78197793115358616</v>
      </c>
      <c r="BZ51" s="1142">
        <f>'Recycling - Case 3'!CA121</f>
        <v>7.4084275294165494</v>
      </c>
      <c r="CA51" s="596">
        <v>2041</v>
      </c>
      <c r="CB51" s="649">
        <f>'Recycling - Case 1'!CB121</f>
        <v>0.37326134680596657</v>
      </c>
      <c r="CC51" s="417">
        <f>'Recycling - Case 1'!CC121</f>
        <v>0.33758481679476227</v>
      </c>
      <c r="CD51" s="417">
        <f>'Recycling - Case 1'!CD121</f>
        <v>0.37326134680596657</v>
      </c>
      <c r="CE51" s="525">
        <f>'Recycling - Case 1'!CE121</f>
        <v>0.33758481679476227</v>
      </c>
      <c r="CF51" s="649">
        <f>'Recycling - Case 2'!CB121</f>
        <v>0.35803801704304605</v>
      </c>
      <c r="CG51" s="417">
        <f>'Recycling - Case 2'!CC121</f>
        <v>0.41891823152976793</v>
      </c>
      <c r="CH51" s="417">
        <f>'Recycling - Case 2'!CD121</f>
        <v>0.35803801704304605</v>
      </c>
      <c r="CI51" s="525">
        <f>'Recycling - Case 2'!CE121</f>
        <v>0.41891823152976793</v>
      </c>
      <c r="CJ51" s="649">
        <f>'Recycling - Case 3'!CB121</f>
        <v>0.35803801704304605</v>
      </c>
      <c r="CK51" s="417">
        <f>'Recycling - Case 3'!CC121</f>
        <v>0.41891823152976793</v>
      </c>
      <c r="CL51" s="417">
        <f>'Recycling - Case 3'!CD121</f>
        <v>0.35803801704304605</v>
      </c>
      <c r="CM51" s="525">
        <f>'Recycling - Case 3'!CE121</f>
        <v>0.41891823152976793</v>
      </c>
    </row>
    <row r="52" spans="1:91">
      <c r="A52" s="4">
        <f>'Input data'!A141</f>
        <v>2041</v>
      </c>
      <c r="B52" s="4"/>
      <c r="C52" s="769">
        <f>'4A SWD Case 1'!BG111</f>
        <v>405.69418544885218</v>
      </c>
      <c r="D52" s="3">
        <f>'4B Biological treatment '!T105</f>
        <v>0.88088565226415672</v>
      </c>
      <c r="E52" s="1157">
        <f>'4B Biological treatment '!U105</f>
        <v>39.639854351887045</v>
      </c>
      <c r="F52" s="1157">
        <f>'4B Biological treatment '!W105</f>
        <v>2.3783912611132227</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8519.5778944258964</v>
      </c>
      <c r="M52" s="772">
        <f t="shared" si="70"/>
        <v>18.49859869754729</v>
      </c>
      <c r="N52" s="771">
        <f t="shared" si="71"/>
        <v>1569.7382323347269</v>
      </c>
      <c r="O52" s="773">
        <f t="shared" si="72"/>
        <v>118.59896220497515</v>
      </c>
      <c r="P52" s="771">
        <f t="shared" si="73"/>
        <v>5585.8882679954158</v>
      </c>
      <c r="Q52" s="519">
        <f t="shared" si="74"/>
        <v>8519.5778944258964</v>
      </c>
      <c r="R52" s="521">
        <f t="shared" si="75"/>
        <v>1588.2368310322743</v>
      </c>
      <c r="S52" s="518">
        <f t="shared" si="76"/>
        <v>118.59896220497515</v>
      </c>
      <c r="T52" s="519">
        <f t="shared" si="77"/>
        <v>5585.8882679954158</v>
      </c>
      <c r="U52" s="519">
        <f t="shared" si="78"/>
        <v>15812.30195565856</v>
      </c>
      <c r="V52" s="3"/>
      <c r="W52" s="596">
        <f t="shared" si="79"/>
        <v>2042</v>
      </c>
      <c r="X52" s="1101">
        <f t="shared" si="80"/>
        <v>8316.4677880378767</v>
      </c>
      <c r="Y52" s="1102">
        <f t="shared" si="81"/>
        <v>1602.6092002822506</v>
      </c>
      <c r="Z52" s="1102">
        <f t="shared" si="82"/>
        <v>112.27558743164121</v>
      </c>
      <c r="AA52" s="1102">
        <f t="shared" si="83"/>
        <v>5660.9807054541461</v>
      </c>
      <c r="AB52" s="1142">
        <f t="shared" si="22"/>
        <v>15692.333281205916</v>
      </c>
      <c r="AC52" s="1423" t="str">
        <f>IF(OR('Recycling - Case 1'!AC122="No",'Recycling - Case 1'!T162="No"), "No", "Yes")</f>
        <v>Yes</v>
      </c>
      <c r="AD52" s="1101">
        <f t="shared" si="84"/>
        <v>8316.4677880378767</v>
      </c>
      <c r="AE52" s="1102">
        <f t="shared" si="85"/>
        <v>1602.6092002822506</v>
      </c>
      <c r="AF52" s="1102">
        <f t="shared" si="86"/>
        <v>112.27558743164121</v>
      </c>
      <c r="AG52" s="1102">
        <f t="shared" si="87"/>
        <v>5660.9807054541461</v>
      </c>
      <c r="AH52" s="1142">
        <f t="shared" si="60"/>
        <v>15692.333281205916</v>
      </c>
      <c r="AI52" s="1423" t="str">
        <f>IF(OR('Recycling - Case 1'!AI33="No",'Recycling - Case 1'!Z162="No"), "No", "Yes")</f>
        <v>Yes</v>
      </c>
      <c r="AJ52" s="1101">
        <f t="shared" si="88"/>
        <v>7314.7930089886077</v>
      </c>
      <c r="AK52" s="1102">
        <f t="shared" si="89"/>
        <v>1602.6092002822506</v>
      </c>
      <c r="AL52" s="1102">
        <f t="shared" si="90"/>
        <v>96.042128189602451</v>
      </c>
      <c r="AM52" s="1102">
        <f t="shared" si="91"/>
        <v>5984.171738465644</v>
      </c>
      <c r="AN52" s="1142">
        <f t="shared" si="92"/>
        <v>14997.616075926106</v>
      </c>
      <c r="AO52" s="1416" t="str">
        <f>IF(OR('Recycling - Case 2'!AC122="No",'Recycling - Case 2'!T162="No"), "No", "Yes")</f>
        <v>Yes</v>
      </c>
      <c r="AP52" s="1101">
        <f t="shared" si="93"/>
        <v>7314.7930089886077</v>
      </c>
      <c r="AQ52" s="1102">
        <f t="shared" si="94"/>
        <v>1602.6092002822506</v>
      </c>
      <c r="AR52" s="1102">
        <f t="shared" si="95"/>
        <v>96.042128189602451</v>
      </c>
      <c r="AS52" s="1102">
        <f t="shared" si="96"/>
        <v>5984.171738465644</v>
      </c>
      <c r="AT52" s="1142">
        <f t="shared" si="37"/>
        <v>14997.616075926106</v>
      </c>
      <c r="AU52" s="1423" t="str">
        <f>IF(OR('Recycling - Case 2'!AC122="No",'Recycling - Case 2'!T202="No"), "No", "Yes")</f>
        <v>Yes</v>
      </c>
      <c r="AV52" s="1101">
        <f t="shared" si="63"/>
        <v>7316.0998836017352</v>
      </c>
      <c r="AW52" s="1102">
        <f t="shared" si="64"/>
        <v>973.2984327837296</v>
      </c>
      <c r="AX52" s="1102">
        <f t="shared" si="65"/>
        <v>96.042128189602451</v>
      </c>
      <c r="AY52" s="1102">
        <f t="shared" si="66"/>
        <v>5984.171738465644</v>
      </c>
      <c r="AZ52" s="1142">
        <f t="shared" si="67"/>
        <v>14369.612183040712</v>
      </c>
      <c r="BA52" s="1423" t="str">
        <f>IF(OR('Recycling - Case 3'!AC122="No",'Recycling - Case 3'!T162="No"), "No", "Yes")</f>
        <v>Yes</v>
      </c>
      <c r="BB52" s="1101">
        <f t="shared" si="97"/>
        <v>7316.0998836017352</v>
      </c>
      <c r="BC52" s="1102">
        <f t="shared" si="98"/>
        <v>973.2984327837296</v>
      </c>
      <c r="BD52" s="1102">
        <f t="shared" si="99"/>
        <v>96.042128189602451</v>
      </c>
      <c r="BE52" s="1102">
        <f t="shared" si="100"/>
        <v>5984.171738465644</v>
      </c>
      <c r="BF52" s="1142">
        <f t="shared" si="47"/>
        <v>14369.612183040712</v>
      </c>
      <c r="BG52" s="1423" t="str">
        <f>IF(OR('Recycling - Case 3'!AC122="No",'Recycling - Case 3'!T202="No"), "No", "Yes")</f>
        <v>Yes</v>
      </c>
      <c r="BH52" s="596">
        <f t="shared" si="48"/>
        <v>2042</v>
      </c>
      <c r="BI52" s="1102">
        <f>'Recycling - Case 1'!BV122</f>
        <v>79.247861030754621</v>
      </c>
      <c r="BJ52" s="417">
        <f>'Recycling - Case 1'!BW122</f>
        <v>0.69106927393185447</v>
      </c>
      <c r="BK52" s="1142">
        <f>'Recycling - Case 1'!BX122</f>
        <v>5.8658880813916188</v>
      </c>
      <c r="BL52" s="1101">
        <f>'Recycling - Case 1'!BY122</f>
        <v>79.247861030754621</v>
      </c>
      <c r="BM52" s="417">
        <f>'Recycling - Case 1'!BZ122</f>
        <v>0.69106927393185447</v>
      </c>
      <c r="BN52" s="1142">
        <f>'Recycling - Case 1'!CA122</f>
        <v>5.8658880813916188</v>
      </c>
      <c r="BO52" s="1102">
        <f>'Recycling - Case 2'!BV122</f>
        <v>73.38846801673013</v>
      </c>
      <c r="BP52" s="417">
        <f>'Recycling - Case 2'!BW122</f>
        <v>0.78311649778154868</v>
      </c>
      <c r="BQ52" s="1142">
        <f>'Recycling - Case 2'!BX122</f>
        <v>5.8658880813916188</v>
      </c>
      <c r="BR52" s="1101">
        <f>'Recycling - Case 2'!BY122</f>
        <v>73.38846801673013</v>
      </c>
      <c r="BS52" s="417">
        <f>'Recycling - Case 2'!BZ122</f>
        <v>0.78311649778154868</v>
      </c>
      <c r="BT52" s="1142">
        <f>'Recycling - Case 2'!CA122</f>
        <v>5.8658880813916188</v>
      </c>
      <c r="BU52" s="1102">
        <f>'Recycling - Case 3'!BV122</f>
        <v>73.38846801673013</v>
      </c>
      <c r="BV52" s="417">
        <f>'Recycling - Case 3'!BW122</f>
        <v>0.78311649778154868</v>
      </c>
      <c r="BW52" s="1142">
        <f>'Recycling - Case 3'!BX122</f>
        <v>5.8658880813916188</v>
      </c>
      <c r="BX52" s="1101">
        <f>'Recycling - Case 3'!BY122</f>
        <v>73.38846801673013</v>
      </c>
      <c r="BY52" s="417">
        <f>'Recycling - Case 3'!BZ122</f>
        <v>0.78311649778154868</v>
      </c>
      <c r="BZ52" s="1142">
        <f>'Recycling - Case 3'!CA122</f>
        <v>5.8658880813916188</v>
      </c>
      <c r="CA52" s="596">
        <v>2042</v>
      </c>
      <c r="CB52" s="649">
        <f>'Recycling - Case 1'!CB122</f>
        <v>0.38275965270757828</v>
      </c>
      <c r="CC52" s="417">
        <f>'Recycling - Case 1'!CC122</f>
        <v>0.34881469113150709</v>
      </c>
      <c r="CD52" s="417">
        <f>'Recycling - Case 1'!CD122</f>
        <v>0.38275965270757828</v>
      </c>
      <c r="CE52" s="525">
        <f>'Recycling - Case 1'!CE122</f>
        <v>0.34881469113150709</v>
      </c>
      <c r="CF52" s="649">
        <f>'Recycling - Case 2'!CB122</f>
        <v>0.36002659202487586</v>
      </c>
      <c r="CG52" s="417">
        <f>'Recycling - Case 2'!CC122</f>
        <v>0.41958968710050459</v>
      </c>
      <c r="CH52" s="417">
        <f>'Recycling - Case 2'!CD122</f>
        <v>0.36002659202487586</v>
      </c>
      <c r="CI52" s="525">
        <f>'Recycling - Case 2'!CE122</f>
        <v>0.41958968710050459</v>
      </c>
      <c r="CJ52" s="649">
        <f>'Recycling - Case 3'!CB122</f>
        <v>0.36002659202487586</v>
      </c>
      <c r="CK52" s="417">
        <f>'Recycling - Case 3'!CC122</f>
        <v>0.41958968710050459</v>
      </c>
      <c r="CL52" s="417">
        <f>'Recycling - Case 3'!CD122</f>
        <v>0.36002659202487586</v>
      </c>
      <c r="CM52" s="525">
        <f>'Recycling - Case 3'!CE122</f>
        <v>0.41958968710050459</v>
      </c>
    </row>
    <row r="53" spans="1:91">
      <c r="A53" s="4">
        <f>'Input data'!A142</f>
        <v>2042</v>
      </c>
      <c r="B53" s="4"/>
      <c r="C53" s="769">
        <f>'4A SWD Case 1'!BG112</f>
        <v>396.02227562085125</v>
      </c>
      <c r="D53" s="3">
        <f>'4B Biological treatment '!T106</f>
        <v>0.88885701624084912</v>
      </c>
      <c r="E53" s="1157">
        <f>'4B Biological treatment '!U106</f>
        <v>39.998565730838202</v>
      </c>
      <c r="F53" s="1157">
        <f>'4B Biological treatment '!W106</f>
        <v>2.3999139438502919</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8316.4677880378767</v>
      </c>
      <c r="M53" s="772">
        <f t="shared" si="70"/>
        <v>18.665997341057832</v>
      </c>
      <c r="N53" s="771">
        <f t="shared" si="71"/>
        <v>1583.9432029411928</v>
      </c>
      <c r="O53" s="773">
        <f t="shared" si="72"/>
        <v>112.27558743164121</v>
      </c>
      <c r="P53" s="771">
        <f t="shared" si="73"/>
        <v>5660.9807054541461</v>
      </c>
      <c r="Q53" s="519">
        <f t="shared" si="74"/>
        <v>8316.4677880378767</v>
      </c>
      <c r="R53" s="521">
        <f t="shared" si="75"/>
        <v>1602.6092002822506</v>
      </c>
      <c r="S53" s="518">
        <f t="shared" si="76"/>
        <v>112.27558743164121</v>
      </c>
      <c r="T53" s="519">
        <f t="shared" si="77"/>
        <v>5660.9807054541461</v>
      </c>
      <c r="U53" s="519">
        <f t="shared" si="78"/>
        <v>15692.333281205916</v>
      </c>
      <c r="V53" s="3"/>
      <c r="W53" s="596">
        <f t="shared" si="79"/>
        <v>2043</v>
      </c>
      <c r="X53" s="1101">
        <f t="shared" si="80"/>
        <v>8119.2984059205992</v>
      </c>
      <c r="Y53" s="1102">
        <f t="shared" si="81"/>
        <v>1617.2967832924933</v>
      </c>
      <c r="Z53" s="1102">
        <f t="shared" si="82"/>
        <v>105.9745212931887</v>
      </c>
      <c r="AA53" s="1102">
        <f t="shared" si="83"/>
        <v>5736.7904513402209</v>
      </c>
      <c r="AB53" s="1142">
        <f t="shared" si="22"/>
        <v>15579.360161846502</v>
      </c>
      <c r="AC53" s="1423" t="str">
        <f>IF(OR('Recycling - Case 1'!AC123="No",'Recycling - Case 1'!T163="No"), "No", "Yes")</f>
        <v>Yes</v>
      </c>
      <c r="AD53" s="1101">
        <f t="shared" si="84"/>
        <v>8119.2984059205992</v>
      </c>
      <c r="AE53" s="1102">
        <f t="shared" si="85"/>
        <v>1617.2967832924933</v>
      </c>
      <c r="AF53" s="1102">
        <f t="shared" si="86"/>
        <v>105.9745212931887</v>
      </c>
      <c r="AG53" s="1102">
        <f t="shared" si="87"/>
        <v>5736.7904513402209</v>
      </c>
      <c r="AH53" s="1142">
        <f t="shared" si="60"/>
        <v>15579.360161846502</v>
      </c>
      <c r="AI53" s="1423" t="str">
        <f>IF(OR('Recycling - Case 1'!AI34="No",'Recycling - Case 1'!Z163="No"), "No", "Yes")</f>
        <v>Yes</v>
      </c>
      <c r="AJ53" s="1101">
        <f t="shared" si="88"/>
        <v>7111.1408065284713</v>
      </c>
      <c r="AK53" s="1102">
        <f t="shared" si="89"/>
        <v>1617.2967832924933</v>
      </c>
      <c r="AL53" s="1102">
        <f t="shared" si="90"/>
        <v>95.853884148944275</v>
      </c>
      <c r="AM53" s="1102">
        <f t="shared" si="91"/>
        <v>6021.3390073615255</v>
      </c>
      <c r="AN53" s="1142">
        <f t="shared" si="92"/>
        <v>14845.630481331435</v>
      </c>
      <c r="AO53" s="1416" t="str">
        <f>IF(OR('Recycling - Case 2'!AC123="No",'Recycling - Case 2'!T163="No"), "No", "Yes")</f>
        <v>Yes</v>
      </c>
      <c r="AP53" s="1101">
        <f t="shared" si="93"/>
        <v>7111.1408065284713</v>
      </c>
      <c r="AQ53" s="1102">
        <f t="shared" si="94"/>
        <v>1617.2967832924933</v>
      </c>
      <c r="AR53" s="1102">
        <f t="shared" si="95"/>
        <v>95.853884148944275</v>
      </c>
      <c r="AS53" s="1102">
        <f t="shared" si="96"/>
        <v>6021.3390073615255</v>
      </c>
      <c r="AT53" s="1142">
        <f t="shared" si="37"/>
        <v>14845.630481331435</v>
      </c>
      <c r="AU53" s="1423" t="str">
        <f>IF(OR('Recycling - Case 2'!AC123="No",'Recycling - Case 2'!T203="No"), "No", "Yes")</f>
        <v>Yes</v>
      </c>
      <c r="AV53" s="1101">
        <f t="shared" si="63"/>
        <v>7112.4955503369783</v>
      </c>
      <c r="AW53" s="1102">
        <f t="shared" si="64"/>
        <v>982.21851231574033</v>
      </c>
      <c r="AX53" s="1102">
        <f t="shared" si="65"/>
        <v>95.853884148944275</v>
      </c>
      <c r="AY53" s="1102">
        <f t="shared" si="66"/>
        <v>6021.3390073615255</v>
      </c>
      <c r="AZ53" s="1142">
        <f t="shared" si="67"/>
        <v>14211.906954163189</v>
      </c>
      <c r="BA53" s="1423" t="str">
        <f>IF(OR('Recycling - Case 3'!AC123="No",'Recycling - Case 3'!T163="No"), "No", "Yes")</f>
        <v>Yes</v>
      </c>
      <c r="BB53" s="1101">
        <f t="shared" si="97"/>
        <v>7112.4955503369783</v>
      </c>
      <c r="BC53" s="1102">
        <f t="shared" si="98"/>
        <v>982.21851231574033</v>
      </c>
      <c r="BD53" s="1102">
        <f t="shared" si="99"/>
        <v>95.853884148944275</v>
      </c>
      <c r="BE53" s="1102">
        <f t="shared" si="100"/>
        <v>6021.3390073615255</v>
      </c>
      <c r="BF53" s="1142">
        <f t="shared" si="47"/>
        <v>14211.906954163189</v>
      </c>
      <c r="BG53" s="1423" t="str">
        <f>IF(OR('Recycling - Case 3'!AC123="No",'Recycling - Case 3'!T203="No"), "No", "Yes")</f>
        <v>Yes</v>
      </c>
      <c r="BH53" s="596">
        <f t="shared" si="48"/>
        <v>2043</v>
      </c>
      <c r="BI53" s="1102">
        <f>'Recycling - Case 1'!BV123</f>
        <v>78.561996486089981</v>
      </c>
      <c r="BJ53" s="417">
        <f>'Recycling - Case 1'!BW123</f>
        <v>0.70533714961588401</v>
      </c>
      <c r="BK53" s="1142">
        <f>'Recycling - Case 1'!BX123</f>
        <v>4.3233486333666873</v>
      </c>
      <c r="BL53" s="1101">
        <f>'Recycling - Case 1'!BY123</f>
        <v>78.561996486089981</v>
      </c>
      <c r="BM53" s="417">
        <f>'Recycling - Case 1'!BZ123</f>
        <v>0.70533714961588401</v>
      </c>
      <c r="BN53" s="1142">
        <f>'Recycling - Case 1'!CA123</f>
        <v>4.3233486333666873</v>
      </c>
      <c r="BO53" s="1102">
        <f>'Recycling - Case 2'!BV123</f>
        <v>73.792735695201429</v>
      </c>
      <c r="BP53" s="417">
        <f>'Recycling - Case 2'!BW123</f>
        <v>0.78430467693108896</v>
      </c>
      <c r="BQ53" s="1142">
        <f>'Recycling - Case 2'!BX123</f>
        <v>4.3233486333666873</v>
      </c>
      <c r="BR53" s="1101">
        <f>'Recycling - Case 2'!BY123</f>
        <v>73.792735695201429</v>
      </c>
      <c r="BS53" s="417">
        <f>'Recycling - Case 2'!BZ123</f>
        <v>0.78430467693108896</v>
      </c>
      <c r="BT53" s="1142">
        <f>'Recycling - Case 2'!CA123</f>
        <v>4.3233486333666873</v>
      </c>
      <c r="BU53" s="1102">
        <f>'Recycling - Case 3'!BV123</f>
        <v>73.792735695201429</v>
      </c>
      <c r="BV53" s="417">
        <f>'Recycling - Case 3'!BW123</f>
        <v>0.78430467693108896</v>
      </c>
      <c r="BW53" s="1142">
        <f>'Recycling - Case 3'!BX123</f>
        <v>4.3233486333666873</v>
      </c>
      <c r="BX53" s="1101">
        <f>'Recycling - Case 3'!BY123</f>
        <v>73.792735695201429</v>
      </c>
      <c r="BY53" s="417">
        <f>'Recycling - Case 3'!BZ123</f>
        <v>0.78430467693108896</v>
      </c>
      <c r="BZ53" s="1142">
        <f>'Recycling - Case 3'!CA123</f>
        <v>4.3233486333666873</v>
      </c>
      <c r="CA53" s="596">
        <v>2043</v>
      </c>
      <c r="CB53" s="649">
        <f>'Recycling - Case 1'!CB123</f>
        <v>0.39214758076794598</v>
      </c>
      <c r="CC53" s="417">
        <f>'Recycling - Case 1'!CC123</f>
        <v>0.35927720293952825</v>
      </c>
      <c r="CD53" s="417">
        <f>'Recycling - Case 1'!CD123</f>
        <v>0.39214758076794598</v>
      </c>
      <c r="CE53" s="525">
        <f>'Recycling - Case 1'!CE123</f>
        <v>0.35927720293952825</v>
      </c>
      <c r="CF53" s="649">
        <f>'Recycling - Case 2'!CB123</f>
        <v>0.36200198208013235</v>
      </c>
      <c r="CG53" s="417">
        <f>'Recycling - Case 2'!CC123</f>
        <v>0.42033115844777702</v>
      </c>
      <c r="CH53" s="417">
        <f>'Recycling - Case 2'!CD123</f>
        <v>0.36200198208013235</v>
      </c>
      <c r="CI53" s="525">
        <f>'Recycling - Case 2'!CE123</f>
        <v>0.42033115844777702</v>
      </c>
      <c r="CJ53" s="649">
        <f>'Recycling - Case 3'!CB123</f>
        <v>0.36200198208013235</v>
      </c>
      <c r="CK53" s="417">
        <f>'Recycling - Case 3'!CC123</f>
        <v>0.42033115844777702</v>
      </c>
      <c r="CL53" s="417">
        <f>'Recycling - Case 3'!CD123</f>
        <v>0.36200198208013235</v>
      </c>
      <c r="CM53" s="525">
        <f>'Recycling - Case 3'!CE123</f>
        <v>0.42033115844777702</v>
      </c>
    </row>
    <row r="54" spans="1:91">
      <c r="A54" s="4">
        <f>'Input data'!A143</f>
        <v>2043</v>
      </c>
      <c r="B54" s="4"/>
      <c r="C54" s="769">
        <f>'4A SWD Case 1'!BG113</f>
        <v>386.63325742479043</v>
      </c>
      <c r="D54" s="3">
        <f>'4B Biological treatment '!T107</f>
        <v>0.89700320759428354</v>
      </c>
      <c r="E54" s="1157">
        <f>'4B Biological treatment '!U107</f>
        <v>40.365144341742763</v>
      </c>
      <c r="F54" s="1157">
        <f>'4B Biological treatment '!W107</f>
        <v>2.4219086605045654</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8119.2984059205992</v>
      </c>
      <c r="M54" s="772">
        <f t="shared" si="70"/>
        <v>18.837067359479953</v>
      </c>
      <c r="N54" s="771">
        <f t="shared" si="71"/>
        <v>1598.4597159330133</v>
      </c>
      <c r="O54" s="773">
        <f t="shared" si="72"/>
        <v>105.9745212931887</v>
      </c>
      <c r="P54" s="771">
        <f t="shared" si="73"/>
        <v>5736.7904513402209</v>
      </c>
      <c r="Q54" s="519">
        <f t="shared" si="74"/>
        <v>8119.2984059205992</v>
      </c>
      <c r="R54" s="521">
        <f t="shared" si="75"/>
        <v>1617.2967832924933</v>
      </c>
      <c r="S54" s="518">
        <f t="shared" si="76"/>
        <v>105.9745212931887</v>
      </c>
      <c r="T54" s="519">
        <f t="shared" si="77"/>
        <v>5736.7904513402209</v>
      </c>
      <c r="U54" s="519">
        <f t="shared" si="78"/>
        <v>15579.360161846502</v>
      </c>
      <c r="V54" s="3"/>
      <c r="W54" s="596">
        <f t="shared" si="79"/>
        <v>2044</v>
      </c>
      <c r="X54" s="1101">
        <f t="shared" si="80"/>
        <v>7928.0368721510049</v>
      </c>
      <c r="Y54" s="1102">
        <f t="shared" si="81"/>
        <v>1632.4995989220338</v>
      </c>
      <c r="Z54" s="1102">
        <f t="shared" si="82"/>
        <v>99.695450674930214</v>
      </c>
      <c r="AA54" s="1102">
        <f t="shared" si="83"/>
        <v>5813.3235192185621</v>
      </c>
      <c r="AB54" s="1142">
        <f t="shared" si="22"/>
        <v>15473.555440966531</v>
      </c>
      <c r="AC54" s="1423" t="str">
        <f>IF(OR('Recycling - Case 1'!AC124="No",'Recycling - Case 1'!T164="No"), "No", "Yes")</f>
        <v>Yes</v>
      </c>
      <c r="AD54" s="1101">
        <f t="shared" si="84"/>
        <v>7928.0368721510049</v>
      </c>
      <c r="AE54" s="1102">
        <f t="shared" si="85"/>
        <v>1632.4995989220338</v>
      </c>
      <c r="AF54" s="1102">
        <f t="shared" si="86"/>
        <v>99.695450674930214</v>
      </c>
      <c r="AG54" s="1102">
        <f t="shared" si="87"/>
        <v>5813.3235192185621</v>
      </c>
      <c r="AH54" s="1142">
        <f t="shared" si="60"/>
        <v>15473.555440966531</v>
      </c>
      <c r="AI54" s="1423" t="str">
        <f>IF(OR('Recycling - Case 1'!AI35="No",'Recycling - Case 1'!Z164="No"), "No", "Yes")</f>
        <v>Yes</v>
      </c>
      <c r="AJ54" s="1101">
        <f t="shared" si="88"/>
        <v>6923.0141684141936</v>
      </c>
      <c r="AK54" s="1102">
        <f t="shared" si="89"/>
        <v>1632.4995989220338</v>
      </c>
      <c r="AL54" s="1102">
        <f t="shared" si="90"/>
        <v>95.667531744697669</v>
      </c>
      <c r="AM54" s="1102">
        <f t="shared" si="91"/>
        <v>6058.7371195449232</v>
      </c>
      <c r="AN54" s="1142">
        <f t="shared" si="92"/>
        <v>14709.918418625848</v>
      </c>
      <c r="AO54" s="1416" t="str">
        <f>IF(OR('Recycling - Case 2'!AC124="No",'Recycling - Case 2'!T164="No"), "No", "Yes")</f>
        <v>Yes</v>
      </c>
      <c r="AP54" s="1101">
        <f t="shared" si="93"/>
        <v>6923.0141684141936</v>
      </c>
      <c r="AQ54" s="1102">
        <f t="shared" si="94"/>
        <v>1632.4995989220338</v>
      </c>
      <c r="AR54" s="1102">
        <f t="shared" si="95"/>
        <v>95.667531744697669</v>
      </c>
      <c r="AS54" s="1102">
        <f t="shared" si="96"/>
        <v>6058.7371195449232</v>
      </c>
      <c r="AT54" s="1142">
        <f t="shared" si="37"/>
        <v>14709.918418625848</v>
      </c>
      <c r="AU54" s="1423" t="str">
        <f>IF(OR('Recycling - Case 2'!AC124="No",'Recycling - Case 2'!T204="No"), "No", "Yes")</f>
        <v>Yes</v>
      </c>
      <c r="AV54" s="1101">
        <f t="shared" si="63"/>
        <v>6924.4147637371716</v>
      </c>
      <c r="AW54" s="1102">
        <f t="shared" si="64"/>
        <v>991.45150350506196</v>
      </c>
      <c r="AX54" s="1102">
        <f t="shared" si="65"/>
        <v>95.667531744697669</v>
      </c>
      <c r="AY54" s="1102">
        <f t="shared" si="66"/>
        <v>6058.7371195449232</v>
      </c>
      <c r="AZ54" s="1142">
        <f t="shared" si="67"/>
        <v>14070.270918531854</v>
      </c>
      <c r="BA54" s="1423" t="str">
        <f>IF(OR('Recycling - Case 3'!AC124="No",'Recycling - Case 3'!T164="No"), "No", "Yes")</f>
        <v>Yes</v>
      </c>
      <c r="BB54" s="1101">
        <f t="shared" si="97"/>
        <v>6924.4147637371716</v>
      </c>
      <c r="BC54" s="1102">
        <f t="shared" si="98"/>
        <v>991.45150350506196</v>
      </c>
      <c r="BD54" s="1102">
        <f t="shared" si="99"/>
        <v>95.667531744697669</v>
      </c>
      <c r="BE54" s="1102">
        <f t="shared" si="100"/>
        <v>6058.7371195449232</v>
      </c>
      <c r="BF54" s="1142">
        <f t="shared" si="47"/>
        <v>14070.270918531854</v>
      </c>
      <c r="BG54" s="1423" t="str">
        <f>IF(OR('Recycling - Case 3'!AC124="No",'Recycling - Case 3'!T204="No"), "No", "Yes")</f>
        <v>Yes</v>
      </c>
      <c r="BH54" s="596">
        <f t="shared" si="48"/>
        <v>2044</v>
      </c>
      <c r="BI54" s="1102">
        <f>'Recycling - Case 1'!BV124</f>
        <v>77.973783621294899</v>
      </c>
      <c r="BJ54" s="417">
        <f>'Recycling - Case 1'!BW124</f>
        <v>0.71939358822611521</v>
      </c>
      <c r="BK54" s="1142">
        <f>'Recycling - Case 1'!BX124</f>
        <v>2.7808091853417563</v>
      </c>
      <c r="BL54" s="1101">
        <f>'Recycling - Case 1'!BY124</f>
        <v>77.973783621294899</v>
      </c>
      <c r="BM54" s="417">
        <f>'Recycling - Case 1'!BZ124</f>
        <v>0.71939358822611521</v>
      </c>
      <c r="BN54" s="1142">
        <f>'Recycling - Case 1'!CA124</f>
        <v>2.7808091853417563</v>
      </c>
      <c r="BO54" s="1102">
        <f>'Recycling - Case 2'!BV124</f>
        <v>74.231098380025031</v>
      </c>
      <c r="BP54" s="417">
        <f>'Recycling - Case 2'!BW124</f>
        <v>0.78557843931623272</v>
      </c>
      <c r="BQ54" s="1142">
        <f>'Recycling - Case 2'!BX124</f>
        <v>2.7808091853417563</v>
      </c>
      <c r="BR54" s="1101">
        <f>'Recycling - Case 2'!BY124</f>
        <v>74.231098380025031</v>
      </c>
      <c r="BS54" s="417">
        <f>'Recycling - Case 2'!BZ124</f>
        <v>0.78557843931623272</v>
      </c>
      <c r="BT54" s="1142">
        <f>'Recycling - Case 2'!CA124</f>
        <v>2.7808091853417563</v>
      </c>
      <c r="BU54" s="1102">
        <f>'Recycling - Case 3'!BV124</f>
        <v>74.231098380025031</v>
      </c>
      <c r="BV54" s="417">
        <f>'Recycling - Case 3'!BW124</f>
        <v>0.78557843931623272</v>
      </c>
      <c r="BW54" s="1142">
        <f>'Recycling - Case 3'!BX124</f>
        <v>2.7808091853417563</v>
      </c>
      <c r="BX54" s="1101">
        <f>'Recycling - Case 3'!BY124</f>
        <v>74.231098380025031</v>
      </c>
      <c r="BY54" s="417">
        <f>'Recycling - Case 3'!BZ124</f>
        <v>0.78557843931623272</v>
      </c>
      <c r="BZ54" s="1142">
        <f>'Recycling - Case 3'!CA124</f>
        <v>2.7808091853417563</v>
      </c>
      <c r="CA54" s="596">
        <v>2044</v>
      </c>
      <c r="CB54" s="649">
        <f>'Recycling - Case 1'!CB124</f>
        <v>0.40142626362055789</v>
      </c>
      <c r="CC54" s="417">
        <f>'Recycling - Case 1'!CC124</f>
        <v>0.36907916925942497</v>
      </c>
      <c r="CD54" s="417">
        <f>'Recycling - Case 1'!CD124</f>
        <v>0.40142626362055789</v>
      </c>
      <c r="CE54" s="525">
        <f>'Recycling - Case 1'!CE124</f>
        <v>0.36907916925942497</v>
      </c>
      <c r="CF54" s="649">
        <f>'Recycling - Case 2'!CB124</f>
        <v>0.36396428507300427</v>
      </c>
      <c r="CG54" s="417">
        <f>'Recycling - Case 2'!CC124</f>
        <v>0.42118968176281724</v>
      </c>
      <c r="CH54" s="417">
        <f>'Recycling - Case 2'!CD124</f>
        <v>0.36396428507300427</v>
      </c>
      <c r="CI54" s="525">
        <f>'Recycling - Case 2'!CE124</f>
        <v>0.42118968176281724</v>
      </c>
      <c r="CJ54" s="649">
        <f>'Recycling - Case 3'!CB124</f>
        <v>0.36396428507300427</v>
      </c>
      <c r="CK54" s="417">
        <f>'Recycling - Case 3'!CC124</f>
        <v>0.42118968176281724</v>
      </c>
      <c r="CL54" s="417">
        <f>'Recycling - Case 3'!CD124</f>
        <v>0.36396428507300427</v>
      </c>
      <c r="CM54" s="525">
        <f>'Recycling - Case 3'!CE124</f>
        <v>0.42118968176281724</v>
      </c>
    </row>
    <row r="55" spans="1:91">
      <c r="A55" s="4">
        <f>'Input data'!A144</f>
        <v>2044</v>
      </c>
      <c r="B55" s="4"/>
      <c r="C55" s="769">
        <f>'4A SWD Case 1'!BG114</f>
        <v>377.52556534052405</v>
      </c>
      <c r="D55" s="3">
        <f>'4B Biological treatment '!T108</f>
        <v>0.90543516301832161</v>
      </c>
      <c r="E55" s="1157">
        <f>'4B Biological treatment '!U108</f>
        <v>40.744582335824468</v>
      </c>
      <c r="F55" s="1157">
        <f>'4B Biological treatment '!W108</f>
        <v>2.4446749401494681</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7928.0368721510049</v>
      </c>
      <c r="M55" s="772">
        <f t="shared" si="70"/>
        <v>19.014138423384754</v>
      </c>
      <c r="N55" s="771">
        <f t="shared" si="71"/>
        <v>1613.485460498649</v>
      </c>
      <c r="O55" s="773">
        <f t="shared" si="72"/>
        <v>99.695450674930214</v>
      </c>
      <c r="P55" s="771">
        <f t="shared" si="73"/>
        <v>5813.3235192185621</v>
      </c>
      <c r="Q55" s="519">
        <f t="shared" si="74"/>
        <v>7928.0368721510049</v>
      </c>
      <c r="R55" s="521">
        <f t="shared" si="75"/>
        <v>1632.4995989220338</v>
      </c>
      <c r="S55" s="518">
        <f t="shared" si="76"/>
        <v>99.695450674930214</v>
      </c>
      <c r="T55" s="519">
        <f t="shared" si="77"/>
        <v>5813.3235192185621</v>
      </c>
      <c r="U55" s="519">
        <f t="shared" si="78"/>
        <v>15473.555440966531</v>
      </c>
      <c r="V55" s="3"/>
      <c r="W55" s="596">
        <f t="shared" si="79"/>
        <v>2045</v>
      </c>
      <c r="X55" s="1101">
        <f t="shared" si="80"/>
        <v>7742.6467467196289</v>
      </c>
      <c r="Y55" s="1102">
        <f t="shared" si="81"/>
        <v>1648.2999227703142</v>
      </c>
      <c r="Z55" s="1102">
        <f t="shared" si="82"/>
        <v>93.438067529346228</v>
      </c>
      <c r="AA55" s="1102">
        <f t="shared" si="83"/>
        <v>5890.5859696831139</v>
      </c>
      <c r="AB55" s="1142">
        <f t="shared" si="22"/>
        <v>15374.970706702405</v>
      </c>
      <c r="AC55" s="1423" t="str">
        <f>IF(OR('Recycling - Case 1'!AC125="No",'Recycling - Case 1'!T165="No"), "No", "Yes")</f>
        <v>Yes</v>
      </c>
      <c r="AD55" s="1101">
        <f t="shared" si="84"/>
        <v>7742.6467467196289</v>
      </c>
      <c r="AE55" s="1102">
        <f t="shared" si="85"/>
        <v>1648.2999227703142</v>
      </c>
      <c r="AF55" s="1102">
        <f t="shared" si="86"/>
        <v>93.438067529346228</v>
      </c>
      <c r="AG55" s="1102">
        <f t="shared" si="87"/>
        <v>5890.5859696831139</v>
      </c>
      <c r="AH55" s="1142">
        <f t="shared" si="60"/>
        <v>15374.970706702405</v>
      </c>
      <c r="AI55" s="1423" t="str">
        <f>IF(OR('Recycling - Case 1'!AI36="No",'Recycling - Case 1'!Z165="No"), "No", "Yes")</f>
        <v>Yes</v>
      </c>
      <c r="AJ55" s="1101">
        <f t="shared" si="88"/>
        <v>6749.7151519113349</v>
      </c>
      <c r="AK55" s="1102">
        <f t="shared" si="89"/>
        <v>1648.2999227703142</v>
      </c>
      <c r="AL55" s="1102">
        <f t="shared" si="90"/>
        <v>95.48304612493115</v>
      </c>
      <c r="AM55" s="1102">
        <f t="shared" si="91"/>
        <v>6096.3675087672291</v>
      </c>
      <c r="AN55" s="1142">
        <f t="shared" si="92"/>
        <v>14589.865629573809</v>
      </c>
      <c r="AO55" s="1416" t="str">
        <f>IF(OR('Recycling - Case 2'!AC125="No",'Recycling - Case 2'!T165="No"), "No", "Yes")</f>
        <v>Yes</v>
      </c>
      <c r="AP55" s="1101">
        <f t="shared" si="93"/>
        <v>6749.7151519113349</v>
      </c>
      <c r="AQ55" s="1102">
        <f t="shared" si="94"/>
        <v>1648.2999227703142</v>
      </c>
      <c r="AR55" s="1102">
        <f t="shared" si="95"/>
        <v>95.48304612493115</v>
      </c>
      <c r="AS55" s="1102">
        <f t="shared" si="96"/>
        <v>6096.3675087672291</v>
      </c>
      <c r="AT55" s="1142">
        <f t="shared" si="37"/>
        <v>14589.865629573809</v>
      </c>
      <c r="AU55" s="1423" t="str">
        <f>IF(OR('Recycling - Case 2'!AC125="No",'Recycling - Case 2'!T205="No"), "No", "Yes")</f>
        <v>Yes</v>
      </c>
      <c r="AV55" s="1101">
        <f t="shared" si="63"/>
        <v>6751.159703350907</v>
      </c>
      <c r="AW55" s="1102">
        <f t="shared" si="64"/>
        <v>1001.047374061838</v>
      </c>
      <c r="AX55" s="1102">
        <f t="shared" si="65"/>
        <v>95.483046124931136</v>
      </c>
      <c r="AY55" s="1102">
        <f t="shared" si="66"/>
        <v>6096.3675087672291</v>
      </c>
      <c r="AZ55" s="1142">
        <f t="shared" si="67"/>
        <v>13944.057632304906</v>
      </c>
      <c r="BA55" s="1423" t="str">
        <f>IF(OR('Recycling - Case 3'!AC125="No",'Recycling - Case 3'!T165="No"), "No", "Yes")</f>
        <v>Yes</v>
      </c>
      <c r="BB55" s="1101">
        <f t="shared" si="97"/>
        <v>6751.159703350907</v>
      </c>
      <c r="BC55" s="1102">
        <f t="shared" si="98"/>
        <v>1001.047374061838</v>
      </c>
      <c r="BD55" s="1102">
        <f t="shared" si="99"/>
        <v>95.483046124931136</v>
      </c>
      <c r="BE55" s="1102">
        <f t="shared" si="100"/>
        <v>6096.3675087672291</v>
      </c>
      <c r="BF55" s="1142">
        <f t="shared" si="47"/>
        <v>13944.057632304906</v>
      </c>
      <c r="BG55" s="1423" t="str">
        <f>IF(OR('Recycling - Case 3'!AC125="No",'Recycling - Case 3'!T205="No"), "No", "Yes")</f>
        <v>Yes</v>
      </c>
      <c r="BH55" s="596">
        <f t="shared" si="48"/>
        <v>2045</v>
      </c>
      <c r="BI55" s="1102">
        <f>'Recycling - Case 1'!BV125</f>
        <v>77.485148656106887</v>
      </c>
      <c r="BJ55" s="417">
        <f>'Recycling - Case 1'!BW125</f>
        <v>0.73323182044150303</v>
      </c>
      <c r="BK55" s="1142">
        <f>'Recycling - Case 1'!BX125</f>
        <v>1.2382697373168254</v>
      </c>
      <c r="BL55" s="1101">
        <f>'Recycling - Case 1'!BY125</f>
        <v>77.485148656106887</v>
      </c>
      <c r="BM55" s="417">
        <f>'Recycling - Case 1'!BZ125</f>
        <v>0.73323182044150303</v>
      </c>
      <c r="BN55" s="1142">
        <f>'Recycling - Case 1'!CA125</f>
        <v>1.2382697373168254</v>
      </c>
      <c r="BO55" s="1102">
        <f>'Recycling - Case 2'!BV125</f>
        <v>74.708937912027238</v>
      </c>
      <c r="BP55" s="417">
        <f>'Recycling - Case 2'!BW125</f>
        <v>0.78694988296235924</v>
      </c>
      <c r="BQ55" s="1142">
        <f>'Recycling - Case 2'!BX125</f>
        <v>1.2382697373168254</v>
      </c>
      <c r="BR55" s="1101">
        <f>'Recycling - Case 2'!BY125</f>
        <v>74.708937912027238</v>
      </c>
      <c r="BS55" s="417">
        <f>'Recycling - Case 2'!BZ125</f>
        <v>0.78694988296235924</v>
      </c>
      <c r="BT55" s="1142">
        <f>'Recycling - Case 2'!CA125</f>
        <v>1.2382697373168254</v>
      </c>
      <c r="BU55" s="1102">
        <f>'Recycling - Case 3'!BV125</f>
        <v>74.708937912027238</v>
      </c>
      <c r="BV55" s="417">
        <f>'Recycling - Case 3'!BW125</f>
        <v>0.78694988296235924</v>
      </c>
      <c r="BW55" s="1142">
        <f>'Recycling - Case 3'!BX125</f>
        <v>1.2382697373168254</v>
      </c>
      <c r="BX55" s="1101">
        <f>'Recycling - Case 3'!BY125</f>
        <v>74.708937912027238</v>
      </c>
      <c r="BY55" s="417">
        <f>'Recycling - Case 3'!BZ125</f>
        <v>0.78694988296235924</v>
      </c>
      <c r="BZ55" s="1142">
        <f>'Recycling - Case 3'!CA125</f>
        <v>1.2382697373168254</v>
      </c>
      <c r="CA55" s="596">
        <v>2045</v>
      </c>
      <c r="CB55" s="649">
        <f>'Recycling - Case 1'!CB125</f>
        <v>0.41059682127280317</v>
      </c>
      <c r="CC55" s="417">
        <f>'Recycling - Case 1'!CC125</f>
        <v>0.37827491848304584</v>
      </c>
      <c r="CD55" s="417">
        <f>'Recycling - Case 1'!CD125</f>
        <v>0.41059682127280317</v>
      </c>
      <c r="CE55" s="525">
        <f>'Recycling - Case 1'!CE125</f>
        <v>0.37827491848304584</v>
      </c>
      <c r="CF55" s="649">
        <f>'Recycling - Case 2'!CB125</f>
        <v>0.36591359792336786</v>
      </c>
      <c r="CG55" s="417">
        <f>'Recycling - Case 2'!CC125</f>
        <v>0.42218033994103987</v>
      </c>
      <c r="CH55" s="417">
        <f>'Recycling - Case 2'!CD125</f>
        <v>0.36591359792336786</v>
      </c>
      <c r="CI55" s="525">
        <f>'Recycling - Case 2'!CE125</f>
        <v>0.42218033994103987</v>
      </c>
      <c r="CJ55" s="649">
        <f>'Recycling - Case 3'!CB125</f>
        <v>0.36591359792336786</v>
      </c>
      <c r="CK55" s="417">
        <f>'Recycling - Case 3'!CC125</f>
        <v>0.42218033994103987</v>
      </c>
      <c r="CL55" s="417">
        <f>'Recycling - Case 3'!CD125</f>
        <v>0.36591359792336786</v>
      </c>
      <c r="CM55" s="525">
        <f>'Recycling - Case 3'!CE125</f>
        <v>0.42218033994103987</v>
      </c>
    </row>
    <row r="56" spans="1:91">
      <c r="A56" s="4">
        <f>'Input data'!A145</f>
        <v>2045</v>
      </c>
      <c r="B56" s="4"/>
      <c r="C56" s="769">
        <f>'4A SWD Case 1'!BG115</f>
        <v>368.69746412950616</v>
      </c>
      <c r="D56" s="3">
        <f>'4B Biological treatment '!T109</f>
        <v>0.9141985151249663</v>
      </c>
      <c r="E56" s="1157">
        <f>'4B Biological treatment '!U109</f>
        <v>41.138933180623482</v>
      </c>
      <c r="F56" s="1157">
        <f>'4B Biological treatment '!W109</f>
        <v>2.4683359908374092</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7742.6467467196289</v>
      </c>
      <c r="M56" s="772">
        <f t="shared" si="70"/>
        <v>19.198168817624293</v>
      </c>
      <c r="N56" s="771">
        <f t="shared" si="71"/>
        <v>1629.1017539526899</v>
      </c>
      <c r="O56" s="773">
        <f t="shared" si="72"/>
        <v>93.438067529346228</v>
      </c>
      <c r="P56" s="771">
        <f t="shared" si="73"/>
        <v>5890.5859696831139</v>
      </c>
      <c r="Q56" s="519">
        <f t="shared" si="74"/>
        <v>7742.6467467196289</v>
      </c>
      <c r="R56" s="521">
        <f t="shared" si="75"/>
        <v>1648.2999227703142</v>
      </c>
      <c r="S56" s="518">
        <f t="shared" si="76"/>
        <v>93.438067529346228</v>
      </c>
      <c r="T56" s="519">
        <f t="shared" si="77"/>
        <v>5890.5859696831139</v>
      </c>
      <c r="U56" s="519">
        <f t="shared" si="78"/>
        <v>15374.970706702405</v>
      </c>
      <c r="V56" s="3"/>
      <c r="W56" s="596">
        <f t="shared" si="79"/>
        <v>2046</v>
      </c>
      <c r="X56" s="1101">
        <f t="shared" si="80"/>
        <v>7563.0828666180705</v>
      </c>
      <c r="Y56" s="1102">
        <f t="shared" si="81"/>
        <v>1665.8683733156849</v>
      </c>
      <c r="Z56" s="1102">
        <f t="shared" si="82"/>
        <v>87.227232528263414</v>
      </c>
      <c r="AA56" s="1102">
        <f t="shared" si="83"/>
        <v>5962.0228726331479</v>
      </c>
      <c r="AB56" s="1142">
        <f t="shared" si="22"/>
        <v>15278.201345095165</v>
      </c>
      <c r="AC56" s="1423" t="str">
        <f>IF(OR('Recycling - Case 1'!AC126="No",'Recycling - Case 1'!T166="No"), "No", "Yes")</f>
        <v>Yes</v>
      </c>
      <c r="AD56" s="1101">
        <f t="shared" si="84"/>
        <v>7563.0828666180705</v>
      </c>
      <c r="AE56" s="1102">
        <f t="shared" si="85"/>
        <v>1665.8683733156849</v>
      </c>
      <c r="AF56" s="1102">
        <f t="shared" si="86"/>
        <v>87.227232528263414</v>
      </c>
      <c r="AG56" s="1102">
        <f t="shared" si="87"/>
        <v>5962.0228726331479</v>
      </c>
      <c r="AH56" s="1142">
        <f t="shared" si="60"/>
        <v>15278.201345095165</v>
      </c>
      <c r="AI56" s="1423" t="str">
        <f>IF(OR('Recycling - Case 1'!AI37="No",'Recycling - Case 1'!Z166="No"), "No", "Yes")</f>
        <v>Yes</v>
      </c>
      <c r="AJ56" s="1101">
        <f t="shared" si="88"/>
        <v>6590.5797808186699</v>
      </c>
      <c r="AK56" s="1102">
        <f t="shared" si="89"/>
        <v>1665.8683733156849</v>
      </c>
      <c r="AL56" s="1102">
        <f t="shared" si="90"/>
        <v>95.332713212379986</v>
      </c>
      <c r="AM56" s="1102">
        <f t="shared" si="91"/>
        <v>6127.4884893628396</v>
      </c>
      <c r="AN56" s="1142">
        <f t="shared" si="92"/>
        <v>14479.269356709574</v>
      </c>
      <c r="AO56" s="1416" t="str">
        <f>IF(OR('Recycling - Case 2'!AC126="No",'Recycling - Case 2'!T166="No"), "No", "Yes")</f>
        <v>Yes</v>
      </c>
      <c r="AP56" s="1101">
        <f t="shared" si="93"/>
        <v>6590.5797808186699</v>
      </c>
      <c r="AQ56" s="1102">
        <f t="shared" si="94"/>
        <v>1665.8683733156849</v>
      </c>
      <c r="AR56" s="1102">
        <f t="shared" si="95"/>
        <v>95.332713212379986</v>
      </c>
      <c r="AS56" s="1102">
        <f t="shared" si="96"/>
        <v>6127.4884893628396</v>
      </c>
      <c r="AT56" s="1142">
        <f t="shared" si="37"/>
        <v>14479.269356709574</v>
      </c>
      <c r="AU56" s="1423" t="str">
        <f>IF(OR('Recycling - Case 2'!AC126="No",'Recycling - Case 2'!T206="No"), "No", "Yes")</f>
        <v>Yes</v>
      </c>
      <c r="AV56" s="1101">
        <f t="shared" si="63"/>
        <v>6592.0665081684811</v>
      </c>
      <c r="AW56" s="1102">
        <f t="shared" si="64"/>
        <v>1011.7170653248336</v>
      </c>
      <c r="AX56" s="1102">
        <f t="shared" si="65"/>
        <v>95.332713212379986</v>
      </c>
      <c r="AY56" s="1102">
        <f t="shared" si="66"/>
        <v>6127.4884893628396</v>
      </c>
      <c r="AZ56" s="1142">
        <f t="shared" si="67"/>
        <v>13826.604776068532</v>
      </c>
      <c r="BA56" s="1423" t="str">
        <f>IF(OR('Recycling - Case 3'!AC126="No",'Recycling - Case 3'!T166="No"), "No", "Yes")</f>
        <v>Yes</v>
      </c>
      <c r="BB56" s="1101">
        <f t="shared" si="97"/>
        <v>6592.0665081684811</v>
      </c>
      <c r="BC56" s="1102">
        <f t="shared" si="98"/>
        <v>1011.7170653248336</v>
      </c>
      <c r="BD56" s="1102">
        <f t="shared" si="99"/>
        <v>95.332713212379986</v>
      </c>
      <c r="BE56" s="1102">
        <f t="shared" si="100"/>
        <v>6127.4884893628396</v>
      </c>
      <c r="BF56" s="1142">
        <f t="shared" si="47"/>
        <v>13826.604776068532</v>
      </c>
      <c r="BG56" s="1423" t="str">
        <f>IF(OR('Recycling - Case 3'!AC126="No",'Recycling - Case 3'!T206="No"), "No", "Yes")</f>
        <v>Yes</v>
      </c>
      <c r="BH56" s="596">
        <f t="shared" si="48"/>
        <v>2046</v>
      </c>
      <c r="BI56" s="1102">
        <f>'Recycling - Case 1'!BV126</f>
        <v>77.428481926042451</v>
      </c>
      <c r="BJ56" s="417">
        <f>'Recycling - Case 1'!BW126</f>
        <v>0.7479232210872786</v>
      </c>
      <c r="BK56" s="1142">
        <f>'Recycling - Case 1'!BX126</f>
        <v>1.0375101997812246</v>
      </c>
      <c r="BL56" s="1101">
        <f>'Recycling - Case 1'!BY126</f>
        <v>77.428481926042451</v>
      </c>
      <c r="BM56" s="417">
        <f>'Recycling - Case 1'!BZ126</f>
        <v>0.7479232210872786</v>
      </c>
      <c r="BN56" s="1142">
        <f>'Recycling - Case 1'!CA126</f>
        <v>1.0375101997812246</v>
      </c>
      <c r="BO56" s="1102">
        <f>'Recycling - Case 2'!BV126</f>
        <v>75.828440074505437</v>
      </c>
      <c r="BP56" s="417">
        <f>'Recycling - Case 2'!BW126</f>
        <v>0.79009527361665099</v>
      </c>
      <c r="BQ56" s="1142">
        <f>'Recycling - Case 2'!BX126</f>
        <v>1.0375101997812246</v>
      </c>
      <c r="BR56" s="1101">
        <f>'Recycling - Case 2'!BY126</f>
        <v>75.828440074505437</v>
      </c>
      <c r="BS56" s="417">
        <f>'Recycling - Case 2'!BZ126</f>
        <v>0.79009527361665099</v>
      </c>
      <c r="BT56" s="1142">
        <f>'Recycling - Case 2'!CA126</f>
        <v>1.0375101997812246</v>
      </c>
      <c r="BU56" s="1102">
        <f>'Recycling - Case 3'!BV126</f>
        <v>75.828440074505437</v>
      </c>
      <c r="BV56" s="417">
        <f>'Recycling - Case 3'!BW126</f>
        <v>0.79009527361665099</v>
      </c>
      <c r="BW56" s="1142">
        <f>'Recycling - Case 3'!BX126</f>
        <v>1.0375101997812246</v>
      </c>
      <c r="BX56" s="1101">
        <f>'Recycling - Case 3'!BY126</f>
        <v>75.828440074505437</v>
      </c>
      <c r="BY56" s="417">
        <f>'Recycling - Case 3'!BZ126</f>
        <v>0.79009527361665099</v>
      </c>
      <c r="BZ56" s="1142">
        <f>'Recycling - Case 3'!CA126</f>
        <v>1.0375101997812246</v>
      </c>
      <c r="CA56" s="596">
        <v>2046</v>
      </c>
      <c r="CB56" s="649">
        <f>'Recycling - Case 1'!CB126</f>
        <v>0.41931610360905747</v>
      </c>
      <c r="CC56" s="417">
        <f>'Recycling - Case 1'!CC126</f>
        <v>0.39291745314364346</v>
      </c>
      <c r="CD56" s="417">
        <f>'Recycling - Case 1'!CD126</f>
        <v>0.41931610360905747</v>
      </c>
      <c r="CE56" s="525">
        <f>'Recycling - Case 1'!CE126</f>
        <v>0.39291745314364346</v>
      </c>
      <c r="CF56" s="649">
        <f>'Recycling - Case 2'!CB126</f>
        <v>0.36750697834425616</v>
      </c>
      <c r="CG56" s="417">
        <f>'Recycling - Case 2'!CC126</f>
        <v>0.42600528096215839</v>
      </c>
      <c r="CH56" s="417">
        <f>'Recycling - Case 2'!CD126</f>
        <v>0.36750697834425616</v>
      </c>
      <c r="CI56" s="525">
        <f>'Recycling - Case 2'!CE126</f>
        <v>0.42600528096215839</v>
      </c>
      <c r="CJ56" s="649">
        <f>'Recycling - Case 3'!CB126</f>
        <v>0.36750697834425616</v>
      </c>
      <c r="CK56" s="417">
        <f>'Recycling - Case 3'!CC126</f>
        <v>0.42600528096215839</v>
      </c>
      <c r="CL56" s="417">
        <f>'Recycling - Case 3'!CD126</f>
        <v>0.36750697834425616</v>
      </c>
      <c r="CM56" s="525">
        <f>'Recycling - Case 3'!CE126</f>
        <v>0.42600528096215839</v>
      </c>
    </row>
    <row r="57" spans="1:91">
      <c r="A57" s="4">
        <f>'Input data'!A146</f>
        <v>2046</v>
      </c>
      <c r="B57" s="4"/>
      <c r="C57" s="769">
        <f>'4A SWD Case 1'!BG116</f>
        <v>360.14680317228908</v>
      </c>
      <c r="D57" s="3">
        <f>'4B Biological treatment '!T110</f>
        <v>0.92394252541080701</v>
      </c>
      <c r="E57" s="1157">
        <f>'4B Biological treatment '!U110</f>
        <v>41.57741364348631</v>
      </c>
      <c r="F57" s="1157">
        <f>'4B Biological treatment '!W110</f>
        <v>2.4946448186091787</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7563.0828666180705</v>
      </c>
      <c r="M57" s="772">
        <f t="shared" si="70"/>
        <v>19.402793033626946</v>
      </c>
      <c r="N57" s="771">
        <f t="shared" si="71"/>
        <v>1646.465580282058</v>
      </c>
      <c r="O57" s="773">
        <f t="shared" si="72"/>
        <v>87.227232528263414</v>
      </c>
      <c r="P57" s="771">
        <f t="shared" si="73"/>
        <v>5962.0228726331479</v>
      </c>
      <c r="Q57" s="519">
        <f t="shared" si="74"/>
        <v>7563.0828666180705</v>
      </c>
      <c r="R57" s="521">
        <f t="shared" si="75"/>
        <v>1665.8683733156849</v>
      </c>
      <c r="S57" s="518">
        <f t="shared" si="76"/>
        <v>87.227232528263414</v>
      </c>
      <c r="T57" s="519">
        <f t="shared" si="77"/>
        <v>5962.0228726331479</v>
      </c>
      <c r="U57" s="519">
        <f t="shared" si="78"/>
        <v>15278.201345095165</v>
      </c>
      <c r="V57" s="3"/>
      <c r="W57" s="596">
        <f t="shared" si="79"/>
        <v>2047</v>
      </c>
      <c r="X57" s="1101">
        <f t="shared" si="80"/>
        <v>7383.313946975366</v>
      </c>
      <c r="Y57" s="1102">
        <f t="shared" si="81"/>
        <v>1678.4803252735883</v>
      </c>
      <c r="Z57" s="1102">
        <f t="shared" si="82"/>
        <v>81.033572020965295</v>
      </c>
      <c r="AA57" s="1102">
        <f t="shared" si="83"/>
        <v>6034.0356184153861</v>
      </c>
      <c r="AB57" s="1142">
        <f t="shared" si="22"/>
        <v>15176.863462685305</v>
      </c>
      <c r="AC57" s="1423" t="str">
        <f>IF(OR('Recycling - Case 1'!AC127="No",'Recycling - Case 1'!T167="No"), "No", "Yes")</f>
        <v>Yes</v>
      </c>
      <c r="AD57" s="1101">
        <f t="shared" si="84"/>
        <v>7383.313946975366</v>
      </c>
      <c r="AE57" s="1102">
        <f t="shared" si="85"/>
        <v>1678.4803252735883</v>
      </c>
      <c r="AF57" s="1102">
        <f t="shared" si="86"/>
        <v>81.033572020965295</v>
      </c>
      <c r="AG57" s="1102">
        <f t="shared" si="87"/>
        <v>6034.0356184153861</v>
      </c>
      <c r="AH57" s="1142">
        <f t="shared" si="60"/>
        <v>15176.863462685305</v>
      </c>
      <c r="AI57" s="1423" t="str">
        <f>IF(OR('Recycling - Case 1'!AI38="No",'Recycling - Case 1'!Z167="No"), "No", "Yes")</f>
        <v>Yes</v>
      </c>
      <c r="AJ57" s="1101">
        <f t="shared" si="88"/>
        <v>6440.484985273757</v>
      </c>
      <c r="AK57" s="1102">
        <f t="shared" si="89"/>
        <v>1678.4803252735883</v>
      </c>
      <c r="AL57" s="1102">
        <f t="shared" si="90"/>
        <v>95.183612874715863</v>
      </c>
      <c r="AM57" s="1102">
        <f t="shared" si="91"/>
        <v>6158.7683375844354</v>
      </c>
      <c r="AN57" s="1142">
        <f t="shared" si="92"/>
        <v>14372.917261006496</v>
      </c>
      <c r="AO57" s="1416" t="str">
        <f>IF(OR('Recycling - Case 2'!AC127="No",'Recycling - Case 2'!T167="No"), "No", "Yes")</f>
        <v>Yes</v>
      </c>
      <c r="AP57" s="1101">
        <f t="shared" si="93"/>
        <v>6440.484985273757</v>
      </c>
      <c r="AQ57" s="1102">
        <f t="shared" si="94"/>
        <v>1678.4803252735883</v>
      </c>
      <c r="AR57" s="1102">
        <f t="shared" si="95"/>
        <v>95.183612874715863</v>
      </c>
      <c r="AS57" s="1102">
        <f t="shared" si="96"/>
        <v>6158.7683375844354</v>
      </c>
      <c r="AT57" s="1142">
        <f t="shared" si="37"/>
        <v>14372.917261006496</v>
      </c>
      <c r="AU57" s="1423" t="str">
        <f>IF(OR('Recycling - Case 2'!AC127="No",'Recycling - Case 2'!T207="No"), "No", "Yes")</f>
        <v>Yes</v>
      </c>
      <c r="AV57" s="1101">
        <f t="shared" si="63"/>
        <v>6442.0120771414804</v>
      </c>
      <c r="AW57" s="1102">
        <f t="shared" si="64"/>
        <v>1019.3765702576699</v>
      </c>
      <c r="AX57" s="1102">
        <f t="shared" si="65"/>
        <v>95.183612874715863</v>
      </c>
      <c r="AY57" s="1102">
        <f t="shared" si="66"/>
        <v>6158.7683375844354</v>
      </c>
      <c r="AZ57" s="1142">
        <f t="shared" si="67"/>
        <v>13715.340597858301</v>
      </c>
      <c r="BA57" s="1423" t="str">
        <f>IF(OR('Recycling - Case 3'!AC127="No",'Recycling - Case 3'!T167="No"), "No", "Yes")</f>
        <v>Yes</v>
      </c>
      <c r="BB57" s="1101">
        <f t="shared" si="97"/>
        <v>6442.0120771414804</v>
      </c>
      <c r="BC57" s="1102">
        <f t="shared" si="98"/>
        <v>1019.3765702576699</v>
      </c>
      <c r="BD57" s="1102">
        <f t="shared" si="99"/>
        <v>95.183612874715863</v>
      </c>
      <c r="BE57" s="1102">
        <f t="shared" si="100"/>
        <v>6158.7683375844354</v>
      </c>
      <c r="BF57" s="1142">
        <f t="shared" si="47"/>
        <v>13715.340597858301</v>
      </c>
      <c r="BG57" s="1423" t="str">
        <f>IF(OR('Recycling - Case 3'!AC127="No",'Recycling - Case 3'!T207="No"), "No", "Yes")</f>
        <v>Yes</v>
      </c>
      <c r="BH57" s="596">
        <f t="shared" si="48"/>
        <v>2047</v>
      </c>
      <c r="BI57" s="1102">
        <f>'Recycling - Case 1'!BV127</f>
        <v>77.101744505674077</v>
      </c>
      <c r="BJ57" s="417">
        <f>'Recycling - Case 1'!BW127</f>
        <v>0.76110907084436663</v>
      </c>
      <c r="BK57" s="1142">
        <f>'Recycling - Case 1'!BX127</f>
        <v>0.83675066224562367</v>
      </c>
      <c r="BL57" s="1101">
        <f>'Recycling - Case 1'!BY127</f>
        <v>77.101744505674077</v>
      </c>
      <c r="BM57" s="417">
        <f>'Recycling - Case 1'!BZ127</f>
        <v>0.76110907084436663</v>
      </c>
      <c r="BN57" s="1142">
        <f>'Recycling - Case 1'!CA127</f>
        <v>0.83675066224562367</v>
      </c>
      <c r="BO57" s="1102">
        <f>'Recycling - Case 2'!BV127</f>
        <v>76.624136847889133</v>
      </c>
      <c r="BP57" s="417">
        <f>'Recycling - Case 2'!BW127</f>
        <v>0.79227501123422173</v>
      </c>
      <c r="BQ57" s="1142">
        <f>'Recycling - Case 2'!BX127</f>
        <v>0.83675066224562367</v>
      </c>
      <c r="BR57" s="1101">
        <f>'Recycling - Case 2'!BY127</f>
        <v>76.624136847889133</v>
      </c>
      <c r="BS57" s="417">
        <f>'Recycling - Case 2'!BZ127</f>
        <v>0.79227501123422173</v>
      </c>
      <c r="BT57" s="1142">
        <f>'Recycling - Case 2'!CA127</f>
        <v>0.83675066224562367</v>
      </c>
      <c r="BU57" s="1102">
        <f>'Recycling - Case 3'!BV127</f>
        <v>76.624136847889133</v>
      </c>
      <c r="BV57" s="417">
        <f>'Recycling - Case 3'!BW127</f>
        <v>0.79227501123422173</v>
      </c>
      <c r="BW57" s="1142">
        <f>'Recycling - Case 3'!BX127</f>
        <v>0.83675066224562367</v>
      </c>
      <c r="BX57" s="1101">
        <f>'Recycling - Case 3'!BY127</f>
        <v>76.624136847889133</v>
      </c>
      <c r="BY57" s="417">
        <f>'Recycling - Case 3'!BZ127</f>
        <v>0.79227501123422173</v>
      </c>
      <c r="BZ57" s="1142">
        <f>'Recycling - Case 3'!CA127</f>
        <v>0.83675066224562367</v>
      </c>
      <c r="CA57" s="596">
        <v>2047</v>
      </c>
      <c r="CB57" s="649">
        <f>'Recycling - Case 1'!CB127</f>
        <v>0.4279500163115344</v>
      </c>
      <c r="CC57" s="417">
        <f>'Recycling - Case 1'!CC127</f>
        <v>0.40500974956932922</v>
      </c>
      <c r="CD57" s="417">
        <f>'Recycling - Case 1'!CD127</f>
        <v>0.4279500163115344</v>
      </c>
      <c r="CE57" s="525">
        <f>'Recycling - Case 1'!CE127</f>
        <v>0.40500974956932922</v>
      </c>
      <c r="CF57" s="649">
        <f>'Recycling - Case 2'!CB127</f>
        <v>0.36909169159072286</v>
      </c>
      <c r="CG57" s="417">
        <f>'Recycling - Case 2'!CC127</f>
        <v>0.42853482113932728</v>
      </c>
      <c r="CH57" s="417">
        <f>'Recycling - Case 2'!CD127</f>
        <v>0.36909169159072286</v>
      </c>
      <c r="CI57" s="525">
        <f>'Recycling - Case 2'!CE127</f>
        <v>0.42853482113932728</v>
      </c>
      <c r="CJ57" s="649">
        <f>'Recycling - Case 3'!CB127</f>
        <v>0.36909169159072286</v>
      </c>
      <c r="CK57" s="417">
        <f>'Recycling - Case 3'!CC127</f>
        <v>0.42853482113932728</v>
      </c>
      <c r="CL57" s="417">
        <f>'Recycling - Case 3'!CD127</f>
        <v>0.36909169159072286</v>
      </c>
      <c r="CM57" s="525">
        <f>'Recycling - Case 3'!CE127</f>
        <v>0.42853482113932728</v>
      </c>
    </row>
    <row r="58" spans="1:91">
      <c r="A58" s="4">
        <f>'Input data'!A147</f>
        <v>2047</v>
      </c>
      <c r="B58" s="4"/>
      <c r="C58" s="769">
        <f>'4A SWD Case 1'!BG117</f>
        <v>351.58637842739836</v>
      </c>
      <c r="D58" s="3">
        <f>'4B Biological treatment '!T111</f>
        <v>0.93093750708463008</v>
      </c>
      <c r="E58" s="1157">
        <f>'4B Biological treatment '!U111</f>
        <v>41.892187818808353</v>
      </c>
      <c r="F58" s="1157">
        <f>'4B Biological treatment '!W111</f>
        <v>2.5135312691285012</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7383.313946975366</v>
      </c>
      <c r="M58" s="772">
        <f t="shared" si="70"/>
        <v>19.549687648777233</v>
      </c>
      <c r="N58" s="771">
        <f t="shared" si="71"/>
        <v>1658.930637624811</v>
      </c>
      <c r="O58" s="773">
        <f t="shared" si="72"/>
        <v>81.033572020965295</v>
      </c>
      <c r="P58" s="771">
        <f t="shared" si="73"/>
        <v>6034.0356184153861</v>
      </c>
      <c r="Q58" s="519">
        <f t="shared" si="74"/>
        <v>7383.313946975366</v>
      </c>
      <c r="R58" s="521">
        <f t="shared" si="75"/>
        <v>1678.4803252735883</v>
      </c>
      <c r="S58" s="518">
        <f t="shared" si="76"/>
        <v>81.033572020965295</v>
      </c>
      <c r="T58" s="519">
        <f t="shared" si="77"/>
        <v>6034.0356184153861</v>
      </c>
      <c r="U58" s="519">
        <f t="shared" si="78"/>
        <v>15176.863462685305</v>
      </c>
      <c r="V58" s="3"/>
      <c r="W58" s="596">
        <f t="shared" si="79"/>
        <v>2048</v>
      </c>
      <c r="X58" s="1101">
        <f t="shared" si="80"/>
        <v>7203.3219371120585</v>
      </c>
      <c r="Y58" s="1102">
        <f t="shared" si="81"/>
        <v>1691.5419984730534</v>
      </c>
      <c r="Z58" s="1102">
        <f t="shared" si="82"/>
        <v>80.926366254145591</v>
      </c>
      <c r="AA58" s="1102">
        <f t="shared" si="83"/>
        <v>6106.6282245986458</v>
      </c>
      <c r="AB58" s="1142">
        <f t="shared" si="22"/>
        <v>15082.418526437903</v>
      </c>
      <c r="AC58" s="1423" t="str">
        <f>IF(OR('Recycling - Case 1'!AC128="No",'Recycling - Case 1'!T168="No"), "No", "Yes")</f>
        <v>Yes</v>
      </c>
      <c r="AD58" s="1101">
        <f t="shared" si="84"/>
        <v>7203.3219371120585</v>
      </c>
      <c r="AE58" s="1102">
        <f t="shared" si="85"/>
        <v>1691.5419984730534</v>
      </c>
      <c r="AF58" s="1102">
        <f t="shared" si="86"/>
        <v>80.926366254145591</v>
      </c>
      <c r="AG58" s="1102">
        <f t="shared" si="87"/>
        <v>6106.6282245986458</v>
      </c>
      <c r="AH58" s="1142">
        <f t="shared" si="60"/>
        <v>15082.418526437903</v>
      </c>
      <c r="AI58" s="1423" t="str">
        <f>IF(OR('Recycling - Case 1'!AI39="No",'Recycling - Case 1'!Z168="No"), "No", "Yes")</f>
        <v>Yes</v>
      </c>
      <c r="AJ58" s="1101">
        <f t="shared" si="88"/>
        <v>6298.8473485040813</v>
      </c>
      <c r="AK58" s="1102">
        <f t="shared" si="89"/>
        <v>1691.5419984730534</v>
      </c>
      <c r="AL58" s="1102">
        <f t="shared" si="90"/>
        <v>95.035731924294083</v>
      </c>
      <c r="AM58" s="1102">
        <f t="shared" si="91"/>
        <v>6190.2078644258199</v>
      </c>
      <c r="AN58" s="1142">
        <f t="shared" si="92"/>
        <v>14275.632943327248</v>
      </c>
      <c r="AO58" s="1416" t="str">
        <f>IF(OR('Recycling - Case 2'!AC128="No",'Recycling - Case 2'!T168="No"), "No", "Yes")</f>
        <v>Yes</v>
      </c>
      <c r="AP58" s="1101">
        <f t="shared" si="93"/>
        <v>6298.8473485040813</v>
      </c>
      <c r="AQ58" s="1102">
        <f t="shared" si="94"/>
        <v>1691.5419984730534</v>
      </c>
      <c r="AR58" s="1102">
        <f t="shared" si="95"/>
        <v>95.035731924294083</v>
      </c>
      <c r="AS58" s="1102">
        <f t="shared" si="96"/>
        <v>6190.2078644258199</v>
      </c>
      <c r="AT58" s="1142">
        <f t="shared" si="37"/>
        <v>14275.632943327248</v>
      </c>
      <c r="AU58" s="1423" t="str">
        <f>IF(OR('Recycling - Case 2'!AC128="No",'Recycling - Case 2'!T208="No"), "No", "Yes")</f>
        <v>Yes</v>
      </c>
      <c r="AV58" s="1101">
        <f t="shared" si="63"/>
        <v>6300.4131022759711</v>
      </c>
      <c r="AW58" s="1102">
        <f t="shared" si="64"/>
        <v>1027.3092004037678</v>
      </c>
      <c r="AX58" s="1102">
        <f t="shared" si="65"/>
        <v>95.035731924294083</v>
      </c>
      <c r="AY58" s="1102">
        <f t="shared" si="66"/>
        <v>6190.2078644258199</v>
      </c>
      <c r="AZ58" s="1142">
        <f t="shared" si="67"/>
        <v>13612.965899029852</v>
      </c>
      <c r="BA58" s="1423" t="str">
        <f>IF(OR('Recycling - Case 3'!AC128="No",'Recycling - Case 3'!T168="No"), "No", "Yes")</f>
        <v>Yes</v>
      </c>
      <c r="BB58" s="1101">
        <f t="shared" si="97"/>
        <v>6300.4131022759711</v>
      </c>
      <c r="BC58" s="1102">
        <f t="shared" si="98"/>
        <v>1027.3092004037678</v>
      </c>
      <c r="BD58" s="1102">
        <f t="shared" si="99"/>
        <v>95.035731924294083</v>
      </c>
      <c r="BE58" s="1102">
        <f t="shared" si="100"/>
        <v>6190.2078644258199</v>
      </c>
      <c r="BF58" s="1142">
        <f t="shared" si="47"/>
        <v>13612.965899029852</v>
      </c>
      <c r="BG58" s="1423" t="str">
        <f>IF(OR('Recycling - Case 3'!AC128="No",'Recycling - Case 3'!T208="No"), "No", "Yes")</f>
        <v>Yes</v>
      </c>
      <c r="BH58" s="596">
        <f t="shared" si="48"/>
        <v>2048</v>
      </c>
      <c r="BI58" s="1102">
        <f>'Recycling - Case 1'!BV128</f>
        <v>77.077682679973464</v>
      </c>
      <c r="BJ58" s="417">
        <f>'Recycling - Case 1'!BW128</f>
        <v>0.77246632154831418</v>
      </c>
      <c r="BK58" s="1142">
        <f>'Recycling - Case 1'!BX128</f>
        <v>0.63599112471002262</v>
      </c>
      <c r="BL58" s="1101">
        <f>'Recycling - Case 1'!BY128</f>
        <v>77.077682679973464</v>
      </c>
      <c r="BM58" s="417">
        <f>'Recycling - Case 1'!BZ128</f>
        <v>0.77246632154831418</v>
      </c>
      <c r="BN58" s="1142">
        <f>'Recycling - Case 1'!CA128</f>
        <v>0.63599112471002262</v>
      </c>
      <c r="BO58" s="1102">
        <f>'Recycling - Case 2'!BV128</f>
        <v>77.449519103663917</v>
      </c>
      <c r="BP58" s="417">
        <f>'Recycling - Case 2'!BW128</f>
        <v>0.79448874376339074</v>
      </c>
      <c r="BQ58" s="1142">
        <f>'Recycling - Case 2'!BX128</f>
        <v>0.63599112471002262</v>
      </c>
      <c r="BR58" s="1101">
        <f>'Recycling - Case 2'!BY128</f>
        <v>77.449519103663917</v>
      </c>
      <c r="BS58" s="417">
        <f>'Recycling - Case 2'!BZ128</f>
        <v>0.79448874376339074</v>
      </c>
      <c r="BT58" s="1142">
        <f>'Recycling - Case 2'!CA128</f>
        <v>0.63599112471002262</v>
      </c>
      <c r="BU58" s="1102">
        <f>'Recycling - Case 3'!BV128</f>
        <v>77.449519103663917</v>
      </c>
      <c r="BV58" s="417">
        <f>'Recycling - Case 3'!BW128</f>
        <v>0.79448874376339074</v>
      </c>
      <c r="BW58" s="1142">
        <f>'Recycling - Case 3'!BX128</f>
        <v>0.63599112471002262</v>
      </c>
      <c r="BX58" s="1101">
        <f>'Recycling - Case 3'!BY128</f>
        <v>77.449519103663917</v>
      </c>
      <c r="BY58" s="417">
        <f>'Recycling - Case 3'!BZ128</f>
        <v>0.79448874376339074</v>
      </c>
      <c r="BZ58" s="1142">
        <f>'Recycling - Case 3'!CA128</f>
        <v>0.63599112471002262</v>
      </c>
      <c r="CA58" s="596">
        <v>2048</v>
      </c>
      <c r="CB58" s="649">
        <f>'Recycling - Case 1'!CB128</f>
        <v>0.42949384463559215</v>
      </c>
      <c r="CC58" s="417">
        <f>'Recycling - Case 1'!CC128</f>
        <v>0.41629212341766397</v>
      </c>
      <c r="CD58" s="417">
        <f>'Recycling - Case 1'!CD128</f>
        <v>0.42949384463559215</v>
      </c>
      <c r="CE58" s="525">
        <f>'Recycling - Case 1'!CE128</f>
        <v>0.41629212341766397</v>
      </c>
      <c r="CF58" s="649">
        <f>'Recycling - Case 2'!CB128</f>
        <v>0.3706677901680655</v>
      </c>
      <c r="CG58" s="417">
        <f>'Recycling - Case 2'!CC128</f>
        <v>0.43107500374239638</v>
      </c>
      <c r="CH58" s="417">
        <f>'Recycling - Case 2'!CD128</f>
        <v>0.3706677901680655</v>
      </c>
      <c r="CI58" s="525">
        <f>'Recycling - Case 2'!CE128</f>
        <v>0.43107500374239638</v>
      </c>
      <c r="CJ58" s="649">
        <f>'Recycling - Case 3'!CB128</f>
        <v>0.3706677901680655</v>
      </c>
      <c r="CK58" s="417">
        <f>'Recycling - Case 3'!CC128</f>
        <v>0.43107500374239638</v>
      </c>
      <c r="CL58" s="417">
        <f>'Recycling - Case 3'!CD128</f>
        <v>0.3706677901680655</v>
      </c>
      <c r="CM58" s="525">
        <f>'Recycling - Case 3'!CE128</f>
        <v>0.43107500374239638</v>
      </c>
    </row>
    <row r="59" spans="1:91">
      <c r="A59" s="4">
        <f>'Input data'!A148</f>
        <v>2048</v>
      </c>
      <c r="B59" s="4"/>
      <c r="C59" s="769">
        <f>'4A SWD Case 1'!BG118</f>
        <v>343.01533033866946</v>
      </c>
      <c r="D59" s="3">
        <f>'4B Biological treatment '!T112</f>
        <v>0.93818191817695706</v>
      </c>
      <c r="E59" s="1157">
        <f>'4B Biological treatment '!U112</f>
        <v>42.21818631796306</v>
      </c>
      <c r="F59" s="1157">
        <f>'4B Biological treatment '!W112</f>
        <v>2.5330911790777839</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7203.3219371120585</v>
      </c>
      <c r="M59" s="772">
        <f t="shared" si="70"/>
        <v>19.701820281716099</v>
      </c>
      <c r="N59" s="771">
        <f t="shared" si="71"/>
        <v>1671.8401781913371</v>
      </c>
      <c r="O59" s="773">
        <f t="shared" si="72"/>
        <v>80.926366254145591</v>
      </c>
      <c r="P59" s="771">
        <f t="shared" si="73"/>
        <v>6106.6282245986458</v>
      </c>
      <c r="Q59" s="519">
        <f t="shared" si="74"/>
        <v>7203.3219371120585</v>
      </c>
      <c r="R59" s="521">
        <f t="shared" si="75"/>
        <v>1691.5419984730534</v>
      </c>
      <c r="S59" s="518">
        <f t="shared" si="76"/>
        <v>80.926366254145591</v>
      </c>
      <c r="T59" s="519">
        <f t="shared" si="77"/>
        <v>6106.6282245986458</v>
      </c>
      <c r="U59" s="519">
        <f t="shared" si="78"/>
        <v>15082.418526437903</v>
      </c>
      <c r="V59" s="3"/>
      <c r="W59" s="596">
        <f t="shared" si="79"/>
        <v>2049</v>
      </c>
      <c r="X59" s="1101">
        <f t="shared" si="80"/>
        <v>7029.2166933708822</v>
      </c>
      <c r="Y59" s="1102">
        <f t="shared" si="81"/>
        <v>1704.2188779044377</v>
      </c>
      <c r="Z59" s="1102">
        <f t="shared" si="82"/>
        <v>80.81998611074799</v>
      </c>
      <c r="AA59" s="1102">
        <f t="shared" si="83"/>
        <v>6179.8047347637312</v>
      </c>
      <c r="AB59" s="1142">
        <f t="shared" si="22"/>
        <v>14994.060292149799</v>
      </c>
      <c r="AC59" s="1423" t="str">
        <f>IF(OR('Recycling - Case 1'!AC129="No",'Recycling - Case 1'!T169="No"), "No", "Yes")</f>
        <v>Yes</v>
      </c>
      <c r="AD59" s="1101">
        <f t="shared" si="84"/>
        <v>7029.2166933708822</v>
      </c>
      <c r="AE59" s="1102">
        <f t="shared" si="85"/>
        <v>1704.2188779044377</v>
      </c>
      <c r="AF59" s="1102">
        <f t="shared" si="86"/>
        <v>80.81998611074799</v>
      </c>
      <c r="AG59" s="1102">
        <f t="shared" si="87"/>
        <v>6179.8047347637312</v>
      </c>
      <c r="AH59" s="1142">
        <f t="shared" si="60"/>
        <v>14994.060292149799</v>
      </c>
      <c r="AI59" s="1423" t="str">
        <f>IF(OR('Recycling - Case 1'!AI40="No",'Recycling - Case 1'!Z169="No"), "No", "Yes")</f>
        <v>Yes</v>
      </c>
      <c r="AJ59" s="1101">
        <f t="shared" si="88"/>
        <v>6165.2593004176542</v>
      </c>
      <c r="AK59" s="1102">
        <f t="shared" si="89"/>
        <v>1704.2188779044377</v>
      </c>
      <c r="AL59" s="1102">
        <f t="shared" si="90"/>
        <v>94.889057356937755</v>
      </c>
      <c r="AM59" s="1102">
        <f t="shared" si="91"/>
        <v>6221.8078850207985</v>
      </c>
      <c r="AN59" s="1142">
        <f t="shared" si="92"/>
        <v>14186.175120699827</v>
      </c>
      <c r="AO59" s="1416" t="str">
        <f>IF(OR('Recycling - Case 2'!AC129="No",'Recycling - Case 2'!T169="No"), "No", "Yes")</f>
        <v>Yes</v>
      </c>
      <c r="AP59" s="1101">
        <f t="shared" si="93"/>
        <v>6165.2593004176542</v>
      </c>
      <c r="AQ59" s="1102">
        <f t="shared" si="94"/>
        <v>1704.2188779044377</v>
      </c>
      <c r="AR59" s="1102">
        <f t="shared" si="95"/>
        <v>94.889057356937755</v>
      </c>
      <c r="AS59" s="1102">
        <f t="shared" si="96"/>
        <v>6221.8078850207985</v>
      </c>
      <c r="AT59" s="1142">
        <f t="shared" si="37"/>
        <v>14186.175120699827</v>
      </c>
      <c r="AU59" s="1423" t="str">
        <f>IF(OR('Recycling - Case 2'!AC129="No",'Recycling - Case 2'!T209="No"), "No", "Yes")</f>
        <v>Yes</v>
      </c>
      <c r="AV59" s="1101">
        <f t="shared" si="63"/>
        <v>6166.8621159405739</v>
      </c>
      <c r="AW59" s="1102">
        <f t="shared" si="64"/>
        <v>1035.0081371632609</v>
      </c>
      <c r="AX59" s="1102">
        <f t="shared" si="65"/>
        <v>94.889057356937755</v>
      </c>
      <c r="AY59" s="1102">
        <f t="shared" si="66"/>
        <v>6221.8078850207985</v>
      </c>
      <c r="AZ59" s="1142">
        <f t="shared" si="67"/>
        <v>13518.56719548157</v>
      </c>
      <c r="BA59" s="1423" t="str">
        <f>IF(OR('Recycling - Case 3'!AC129="No",'Recycling - Case 3'!T169="No"), "No", "Yes")</f>
        <v>Yes</v>
      </c>
      <c r="BB59" s="1101">
        <f t="shared" si="97"/>
        <v>6166.8621159405739</v>
      </c>
      <c r="BC59" s="1102">
        <f t="shared" si="98"/>
        <v>1035.0081371632609</v>
      </c>
      <c r="BD59" s="1102">
        <f t="shared" si="99"/>
        <v>94.889057356937755</v>
      </c>
      <c r="BE59" s="1102">
        <f t="shared" si="100"/>
        <v>6221.8078850207985</v>
      </c>
      <c r="BF59" s="1142">
        <f t="shared" si="47"/>
        <v>13518.56719548157</v>
      </c>
      <c r="BG59" s="1423" t="str">
        <f>IF(OR('Recycling - Case 3'!AC129="No",'Recycling - Case 3'!T209="No"), "No", "Yes")</f>
        <v>Yes</v>
      </c>
      <c r="BH59" s="596">
        <f t="shared" si="48"/>
        <v>2049</v>
      </c>
      <c r="BI59" s="1102">
        <f>'Recycling - Case 1'!BV129</f>
        <v>77.076649278365963</v>
      </c>
      <c r="BJ59" s="417">
        <f>'Recycling - Case 1'!BW129</f>
        <v>0.78327307076770258</v>
      </c>
      <c r="BK59" s="1142">
        <f>'Recycling - Case 1'!BX129</f>
        <v>0.43523158717442151</v>
      </c>
      <c r="BL59" s="1101">
        <f>'Recycling - Case 1'!BY129</f>
        <v>77.076649278365963</v>
      </c>
      <c r="BM59" s="417">
        <f>'Recycling - Case 1'!BZ129</f>
        <v>0.78327307076770258</v>
      </c>
      <c r="BN59" s="1142">
        <f>'Recycling - Case 1'!CA129</f>
        <v>0.43523158717442151</v>
      </c>
      <c r="BO59" s="1102">
        <f>'Recycling - Case 2'!BV129</f>
        <v>78.250022725329288</v>
      </c>
      <c r="BP59" s="417">
        <f>'Recycling - Case 2'!BW129</f>
        <v>0.79659113938170112</v>
      </c>
      <c r="BQ59" s="1142">
        <f>'Recycling - Case 2'!BX129</f>
        <v>0.43523158717442151</v>
      </c>
      <c r="BR59" s="1101">
        <f>'Recycling - Case 2'!BY129</f>
        <v>78.250022725329288</v>
      </c>
      <c r="BS59" s="417">
        <f>'Recycling - Case 2'!BZ129</f>
        <v>0.79659113938170112</v>
      </c>
      <c r="BT59" s="1142">
        <f>'Recycling - Case 2'!CA129</f>
        <v>0.43523158717442151</v>
      </c>
      <c r="BU59" s="1102">
        <f>'Recycling - Case 3'!BV129</f>
        <v>78.250022725329288</v>
      </c>
      <c r="BV59" s="417">
        <f>'Recycling - Case 3'!BW129</f>
        <v>0.79659113938170112</v>
      </c>
      <c r="BW59" s="1142">
        <f>'Recycling - Case 3'!BX129</f>
        <v>0.43523158717442151</v>
      </c>
      <c r="BX59" s="1101">
        <f>'Recycling - Case 3'!BY129</f>
        <v>78.250022725329288</v>
      </c>
      <c r="BY59" s="417">
        <f>'Recycling - Case 3'!BZ129</f>
        <v>0.79659113938170112</v>
      </c>
      <c r="BZ59" s="1142">
        <f>'Recycling - Case 3'!CA129</f>
        <v>0.43523158717442151</v>
      </c>
      <c r="CA59" s="596">
        <v>2049</v>
      </c>
      <c r="CB59" s="649">
        <f>'Recycling - Case 1'!CB129</f>
        <v>0.43102944159952994</v>
      </c>
      <c r="CC59" s="417">
        <f>'Recycling - Case 1'!CC129</f>
        <v>0.42662818929028812</v>
      </c>
      <c r="CD59" s="417">
        <f>'Recycling - Case 1'!CD129</f>
        <v>0.43102944159952994</v>
      </c>
      <c r="CE59" s="525">
        <f>'Recycling - Case 1'!CE129</f>
        <v>0.42662818929028812</v>
      </c>
      <c r="CF59" s="649">
        <f>'Recycling - Case 2'!CB129</f>
        <v>0.37223532617222466</v>
      </c>
      <c r="CG59" s="417">
        <f>'Recycling - Case 2'!CC129</f>
        <v>0.43344555989420908</v>
      </c>
      <c r="CH59" s="417">
        <f>'Recycling - Case 2'!CD129</f>
        <v>0.37223532617222466</v>
      </c>
      <c r="CI59" s="525">
        <f>'Recycling - Case 2'!CE129</f>
        <v>0.43344555989420908</v>
      </c>
      <c r="CJ59" s="649">
        <f>'Recycling - Case 3'!CB129</f>
        <v>0.37223532617222466</v>
      </c>
      <c r="CK59" s="417">
        <f>'Recycling - Case 3'!CC129</f>
        <v>0.43344555989420908</v>
      </c>
      <c r="CL59" s="417">
        <f>'Recycling - Case 3'!CD129</f>
        <v>0.37223532617222466</v>
      </c>
      <c r="CM59" s="525">
        <f>'Recycling - Case 3'!CE129</f>
        <v>0.43344555989420908</v>
      </c>
    </row>
    <row r="60" spans="1:91" ht="15.75" thickBot="1">
      <c r="A60" s="4">
        <f>'Input data'!A149</f>
        <v>2049</v>
      </c>
      <c r="B60" s="4"/>
      <c r="C60" s="769">
        <f>'4A SWD Case 1'!BG119</f>
        <v>334.72460444623249</v>
      </c>
      <c r="D60" s="3">
        <f>'4B Biological treatment '!T113</f>
        <v>0.9452129106513798</v>
      </c>
      <c r="E60" s="1157">
        <f>'4B Biological treatment '!U113</f>
        <v>42.534580979312082</v>
      </c>
      <c r="F60" s="1157">
        <f>'4B Biological treatment '!W113</f>
        <v>2.5520748587587252</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7029.2166933708822</v>
      </c>
      <c r="M60" s="772">
        <f t="shared" si="70"/>
        <v>19.849471123678974</v>
      </c>
      <c r="N60" s="771">
        <f t="shared" si="71"/>
        <v>1684.3694067807587</v>
      </c>
      <c r="O60" s="773">
        <f t="shared" si="72"/>
        <v>80.81998611074799</v>
      </c>
      <c r="P60" s="771">
        <f t="shared" si="73"/>
        <v>6179.8047347637312</v>
      </c>
      <c r="Q60" s="519">
        <f t="shared" si="74"/>
        <v>7029.2166933708822</v>
      </c>
      <c r="R60" s="521">
        <f t="shared" si="75"/>
        <v>1704.2188779044377</v>
      </c>
      <c r="S60" s="518">
        <f t="shared" si="76"/>
        <v>80.81998611074799</v>
      </c>
      <c r="T60" s="519">
        <f t="shared" si="77"/>
        <v>6179.8047347637312</v>
      </c>
      <c r="U60" s="519">
        <f t="shared" si="78"/>
        <v>14994.060292149799</v>
      </c>
      <c r="V60" s="3"/>
      <c r="W60" s="1143">
        <f t="shared" si="79"/>
        <v>2050</v>
      </c>
      <c r="X60" s="1147">
        <f t="shared" si="80"/>
        <v>6860.9247298534738</v>
      </c>
      <c r="Y60" s="1144">
        <f t="shared" si="81"/>
        <v>1716.9719571983092</v>
      </c>
      <c r="Z60" s="1144">
        <f t="shared" si="82"/>
        <v>80.714423453015158</v>
      </c>
      <c r="AA60" s="1144">
        <f t="shared" si="83"/>
        <v>6253.5692186643009</v>
      </c>
      <c r="AB60" s="1145">
        <f t="shared" si="22"/>
        <v>14912.180329169099</v>
      </c>
      <c r="AC60" s="1423" t="str">
        <f>IF(OR('Recycling - Case 1'!AC130="No",'Recycling - Case 1'!T170="No"), "No", "Yes")</f>
        <v>Yes</v>
      </c>
      <c r="AD60" s="1147">
        <f t="shared" si="84"/>
        <v>6860.9247298534738</v>
      </c>
      <c r="AE60" s="1144">
        <f t="shared" si="85"/>
        <v>1716.9719571983092</v>
      </c>
      <c r="AF60" s="1144">
        <f t="shared" si="86"/>
        <v>80.714423453015158</v>
      </c>
      <c r="AG60" s="1144">
        <f t="shared" si="87"/>
        <v>6253.5692186643009</v>
      </c>
      <c r="AH60" s="1145">
        <f t="shared" si="60"/>
        <v>14912.180329169099</v>
      </c>
      <c r="AI60" s="1423" t="str">
        <f>IF(OR('Recycling - Case 1'!AI41="No",'Recycling - Case 1'!Z170="No"), "No", "Yes")</f>
        <v>Yes</v>
      </c>
      <c r="AJ60" s="1147">
        <f t="shared" si="88"/>
        <v>6039.3124690438972</v>
      </c>
      <c r="AK60" s="1144">
        <f t="shared" si="89"/>
        <v>1716.9719571983092</v>
      </c>
      <c r="AL60" s="1144">
        <f t="shared" si="90"/>
        <v>94.743576348754203</v>
      </c>
      <c r="AM60" s="1144">
        <f t="shared" si="91"/>
        <v>6253.5692186643009</v>
      </c>
      <c r="AN60" s="1145">
        <f t="shared" si="92"/>
        <v>14104.597221255261</v>
      </c>
      <c r="AO60" s="1416" t="str">
        <f>IF(OR('Recycling - Case 2'!AC130="No",'Recycling - Case 2'!T170="No"), "No", "Yes")</f>
        <v>Yes</v>
      </c>
      <c r="AP60" s="1147">
        <f t="shared" si="93"/>
        <v>6039.3124690438972</v>
      </c>
      <c r="AQ60" s="1144">
        <f t="shared" si="94"/>
        <v>1716.9719571983092</v>
      </c>
      <c r="AR60" s="1144">
        <f t="shared" si="95"/>
        <v>94.743576348754203</v>
      </c>
      <c r="AS60" s="1144">
        <f t="shared" si="96"/>
        <v>6253.5692186643009</v>
      </c>
      <c r="AT60" s="1145">
        <f t="shared" si="37"/>
        <v>14104.597221255261</v>
      </c>
      <c r="AU60" s="1423" t="str">
        <f>IF(OR('Recycling - Case 2'!AC130="No",'Recycling - Case 2'!T210="No"), "No", "Yes")</f>
        <v>Yes</v>
      </c>
      <c r="AV60" s="1147">
        <f t="shared" si="63"/>
        <v>6040.9508426753637</v>
      </c>
      <c r="AW60" s="1144">
        <f t="shared" si="64"/>
        <v>1042.7533517094557</v>
      </c>
      <c r="AX60" s="1144">
        <f t="shared" si="65"/>
        <v>94.743576348754203</v>
      </c>
      <c r="AY60" s="1144">
        <f t="shared" si="66"/>
        <v>6253.5692186643009</v>
      </c>
      <c r="AZ60" s="1145">
        <f t="shared" si="67"/>
        <v>13432.016989397875</v>
      </c>
      <c r="BA60" s="1423" t="str">
        <f>IF(OR('Recycling - Case 3'!AC130="No",'Recycling - Case 3'!T170="No"), "No", "Yes")</f>
        <v>Yes</v>
      </c>
      <c r="BB60" s="1147">
        <f t="shared" si="97"/>
        <v>6040.9508426753637</v>
      </c>
      <c r="BC60" s="1144">
        <f t="shared" si="98"/>
        <v>1042.7533517094557</v>
      </c>
      <c r="BD60" s="1144">
        <f t="shared" si="99"/>
        <v>94.743576348754203</v>
      </c>
      <c r="BE60" s="1144">
        <f t="shared" si="100"/>
        <v>6253.5692186643009</v>
      </c>
      <c r="BF60" s="1145">
        <f t="shared" si="47"/>
        <v>13432.016989397875</v>
      </c>
      <c r="BG60" s="1423" t="str">
        <f>IF(OR('Recycling - Case 3'!AC130="No",'Recycling - Case 3'!T210="No"), "No", "Yes")</f>
        <v>Yes</v>
      </c>
      <c r="BH60" s="1143">
        <f t="shared" si="48"/>
        <v>2050</v>
      </c>
      <c r="BI60" s="1144">
        <f>'Recycling - Case 1'!BV130</f>
        <v>77.126177822987145</v>
      </c>
      <c r="BJ60" s="651">
        <f>'Recycling - Case 1'!BW130</f>
        <v>0.79362716505353226</v>
      </c>
      <c r="BK60" s="1145">
        <f>'Recycling - Case 1'!BX130</f>
        <v>0.23447204963882057</v>
      </c>
      <c r="BL60" s="1147">
        <f>'Recycling - Case 1'!BY130</f>
        <v>77.126177822987145</v>
      </c>
      <c r="BM60" s="651">
        <f>'Recycling - Case 1'!BZ130</f>
        <v>0.79362716505353226</v>
      </c>
      <c r="BN60" s="1145">
        <f>'Recycling - Case 1'!CA130</f>
        <v>0.23447204963882057</v>
      </c>
      <c r="BO60" s="1144">
        <f>'Recycling - Case 2'!BV130</f>
        <v>79.055791381835505</v>
      </c>
      <c r="BP60" s="651">
        <f>'Recycling - Case 2'!BW130</f>
        <v>0.7986643649035382</v>
      </c>
      <c r="BQ60" s="1145">
        <f>'Recycling - Case 2'!BX130</f>
        <v>0.23447204963882057</v>
      </c>
      <c r="BR60" s="1147">
        <f>'Recycling - Case 2'!BY130</f>
        <v>79.055791381835505</v>
      </c>
      <c r="BS60" s="651">
        <f>'Recycling - Case 2'!BZ130</f>
        <v>0.7986643649035382</v>
      </c>
      <c r="BT60" s="1145">
        <f>'Recycling - Case 2'!CA130</f>
        <v>0.23447204963882057</v>
      </c>
      <c r="BU60" s="1144">
        <f>'Recycling - Case 3'!BV130</f>
        <v>79.055791381835505</v>
      </c>
      <c r="BV60" s="651">
        <f>'Recycling - Case 3'!BW130</f>
        <v>0.7986643649035382</v>
      </c>
      <c r="BW60" s="1145">
        <f>'Recycling - Case 3'!BX130</f>
        <v>0.23447204963882057</v>
      </c>
      <c r="BX60" s="1147">
        <f>'Recycling - Case 3'!BY130</f>
        <v>79.055791381835505</v>
      </c>
      <c r="BY60" s="651">
        <f>'Recycling - Case 3'!BZ130</f>
        <v>0.7986643649035382</v>
      </c>
      <c r="BZ60" s="1145">
        <f>'Recycling - Case 3'!CA130</f>
        <v>0.23447204963882057</v>
      </c>
      <c r="CA60" s="1143">
        <v>2050</v>
      </c>
      <c r="CB60" s="650">
        <f>'Recycling - Case 1'!CB130</f>
        <v>0.43255685448712144</v>
      </c>
      <c r="CC60" s="651">
        <f>'Recycling - Case 1'!CC130</f>
        <v>0.43620098748154501</v>
      </c>
      <c r="CD60" s="651">
        <f>'Recycling - Case 1'!CD130</f>
        <v>0.43255685448712144</v>
      </c>
      <c r="CE60" s="652">
        <f>'Recycling - Case 1'!CE130</f>
        <v>0.43620098748154501</v>
      </c>
      <c r="CF60" s="650">
        <f>'Recycling - Case 2'!CB130</f>
        <v>0.37379435129462157</v>
      </c>
      <c r="CG60" s="651">
        <f>'Recycling - Case 2'!CC130</f>
        <v>0.43575245492632042</v>
      </c>
      <c r="CH60" s="651">
        <f>'Recycling - Case 2'!CD130</f>
        <v>0.37379435129462157</v>
      </c>
      <c r="CI60" s="652">
        <f>'Recycling - Case 2'!CE130</f>
        <v>0.43575245492632042</v>
      </c>
      <c r="CJ60" s="650">
        <f>'Recycling - Case 3'!CB130</f>
        <v>0.37379435129462157</v>
      </c>
      <c r="CK60" s="651">
        <f>'Recycling - Case 3'!CC130</f>
        <v>0.43575245492632042</v>
      </c>
      <c r="CL60" s="651">
        <f>'Recycling - Case 3'!CD130</f>
        <v>0.37379435129462157</v>
      </c>
      <c r="CM60" s="652">
        <f>'Recycling - Case 3'!CE130</f>
        <v>0.43575245492632042</v>
      </c>
    </row>
    <row r="61" spans="1:91">
      <c r="A61" s="4">
        <f>'Input data'!A150</f>
        <v>2050</v>
      </c>
      <c r="B61" s="4"/>
      <c r="C61" s="769">
        <f>'4A SWD Case 1'!BG120</f>
        <v>326.71070142159397</v>
      </c>
      <c r="D61" s="3">
        <f>'4B Biological treatment '!T114</f>
        <v>0.9522861659447085</v>
      </c>
      <c r="E61" s="1157">
        <f>'4B Biological treatment '!U114</f>
        <v>42.852877467511874</v>
      </c>
      <c r="F61" s="1157">
        <f>'4B Biological treatment '!W114</f>
        <v>2.5711726480507124</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6860.9247298534738</v>
      </c>
      <c r="M61" s="772">
        <f t="shared" si="70"/>
        <v>19.998009484838878</v>
      </c>
      <c r="N61" s="771">
        <f t="shared" si="71"/>
        <v>1696.9739477134704</v>
      </c>
      <c r="O61" s="773">
        <f t="shared" si="72"/>
        <v>80.714423453015158</v>
      </c>
      <c r="P61" s="771">
        <f t="shared" si="73"/>
        <v>6253.5692186643009</v>
      </c>
      <c r="Q61" s="471">
        <f t="shared" si="74"/>
        <v>6860.9247298534738</v>
      </c>
      <c r="R61" s="517">
        <f t="shared" si="75"/>
        <v>1716.9719571983092</v>
      </c>
      <c r="S61" s="514">
        <f t="shared" si="76"/>
        <v>80.714423453015158</v>
      </c>
      <c r="T61" s="471">
        <f t="shared" si="77"/>
        <v>6253.5692186643009</v>
      </c>
      <c r="U61" s="471">
        <f t="shared" si="78"/>
        <v>14912.180329169099</v>
      </c>
      <c r="AJ61" s="53"/>
      <c r="AK61" s="53"/>
      <c r="AL61" s="53"/>
      <c r="AM61" s="53"/>
      <c r="AN61" s="53"/>
      <c r="AP61" s="519"/>
      <c r="AQ61" s="519"/>
      <c r="AR61" s="519"/>
      <c r="AS61" s="519"/>
      <c r="AT61" s="519"/>
      <c r="AU61" s="1417"/>
      <c r="AV61" s="519"/>
      <c r="AW61" s="519"/>
      <c r="AX61" s="519"/>
      <c r="AY61" s="519"/>
      <c r="AZ61" s="519"/>
      <c r="BA61" s="1425"/>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7"/>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7">
        <f>'4B Biological treatment '!U116</f>
        <v>20.384176057159792</v>
      </c>
      <c r="F63" s="1157">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0.42961291719025785</v>
      </c>
      <c r="E64" s="1157">
        <f>'4B Biological treatment '!U117</f>
        <v>24.145627780809107</v>
      </c>
      <c r="F64" s="1157">
        <f>'4B Biological treatment '!W117</f>
        <v>1.4487376668485463</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9.0218712609954146</v>
      </c>
      <c r="N64" s="771">
        <f t="shared" si="103"/>
        <v>956.16686012004061</v>
      </c>
      <c r="O64" s="773">
        <f t="shared" si="104"/>
        <v>304.9221239283998</v>
      </c>
      <c r="P64" s="771">
        <f t="shared" si="105"/>
        <v>3821.6612855587077</v>
      </c>
      <c r="Q64" s="519">
        <f t="shared" si="106"/>
        <v>16834.009318398883</v>
      </c>
      <c r="R64" s="521">
        <f t="shared" si="107"/>
        <v>965.18873138103606</v>
      </c>
      <c r="S64" s="518">
        <f t="shared" si="108"/>
        <v>304.9221239283998</v>
      </c>
      <c r="T64" s="519">
        <f t="shared" si="109"/>
        <v>3821.6612855587077</v>
      </c>
      <c r="U64" s="519">
        <f t="shared" si="110"/>
        <v>21925.781459267029</v>
      </c>
      <c r="X64" s="104"/>
      <c r="Y64" s="1400"/>
      <c r="Z64" s="1400"/>
      <c r="AA64" s="1398"/>
      <c r="AB64" s="1141"/>
      <c r="AC64" s="1401"/>
      <c r="AD64" s="1401"/>
      <c r="AE64" s="1141"/>
      <c r="AF64" s="1141"/>
      <c r="AG64" s="1141"/>
      <c r="AH64" s="1402"/>
      <c r="AI64" s="1421"/>
      <c r="AJ64" s="529"/>
      <c r="AK64" s="529"/>
      <c r="AL64" s="529"/>
      <c r="AM64" s="529"/>
      <c r="AN64" s="529"/>
      <c r="AO64" s="1420"/>
      <c r="AP64" s="529"/>
      <c r="AQ64" s="104"/>
    </row>
    <row r="65" spans="1:43">
      <c r="A65" s="4">
        <f>'Input data'!A120</f>
        <v>2020</v>
      </c>
      <c r="B65" s="4"/>
      <c r="C65" s="769">
        <f>'4A SWD Case 1'!BN90</f>
        <v>780.95200235252298</v>
      </c>
      <c r="D65" s="3">
        <f>'4B Biological treatment '!T118</f>
        <v>0.47494571573223143</v>
      </c>
      <c r="E65" s="1157">
        <f>'4B Biological treatment '!U118</f>
        <v>24.823933717072919</v>
      </c>
      <c r="F65" s="1157">
        <f>'4B Biological treatment '!W118</f>
        <v>1.4894360230243748</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16399.992049402983</v>
      </c>
      <c r="M65" s="772">
        <f t="shared" si="102"/>
        <v>9.9738600303768603</v>
      </c>
      <c r="N65" s="771">
        <f t="shared" si="103"/>
        <v>983.02777519608753</v>
      </c>
      <c r="O65" s="773">
        <f t="shared" si="104"/>
        <v>296.95916503445704</v>
      </c>
      <c r="P65" s="771">
        <f t="shared" si="105"/>
        <v>3916.619774427455</v>
      </c>
      <c r="Q65" s="519">
        <f t="shared" si="106"/>
        <v>16399.992049402983</v>
      </c>
      <c r="R65" s="521">
        <f t="shared" si="107"/>
        <v>993.00163522646437</v>
      </c>
      <c r="S65" s="518">
        <f t="shared" si="108"/>
        <v>296.95916503445704</v>
      </c>
      <c r="T65" s="519">
        <f t="shared" si="109"/>
        <v>3916.619774427455</v>
      </c>
      <c r="U65" s="519">
        <f t="shared" si="110"/>
        <v>21606.572624091357</v>
      </c>
      <c r="X65" s="104"/>
      <c r="Y65" s="104"/>
      <c r="Z65" s="104"/>
      <c r="AA65" s="236"/>
      <c r="AB65" s="118"/>
      <c r="AC65" s="662"/>
      <c r="AD65" s="662"/>
      <c r="AE65" s="118"/>
      <c r="AF65" s="118"/>
      <c r="AG65" s="118"/>
      <c r="AH65" s="105"/>
      <c r="AI65" s="1422"/>
      <c r="AJ65" s="529"/>
      <c r="AK65" s="529"/>
      <c r="AL65" s="529"/>
      <c r="AM65" s="529"/>
      <c r="AN65" s="529"/>
      <c r="AO65" s="1420"/>
      <c r="AP65" s="529"/>
      <c r="AQ65" s="104"/>
    </row>
    <row r="66" spans="1:43">
      <c r="A66" s="4">
        <f>'Input data'!A121</f>
        <v>2021</v>
      </c>
      <c r="B66" s="4"/>
      <c r="C66" s="769">
        <f>'4A SWD Case 1'!BN91</f>
        <v>760.20992910527036</v>
      </c>
      <c r="D66" s="3">
        <f>'4B Biological treatment '!T119</f>
        <v>0.54325316706500992</v>
      </c>
      <c r="E66" s="1157">
        <f>'4B Biological treatment '!U119</f>
        <v>26.293420191298786</v>
      </c>
      <c r="F66" s="1157">
        <f>'4B Biological treatment '!W119</f>
        <v>1.5776052114779271</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15964.408511210677</v>
      </c>
      <c r="M66" s="772">
        <f t="shared" si="102"/>
        <v>11.408316508365209</v>
      </c>
      <c r="N66" s="771">
        <f t="shared" si="103"/>
        <v>1041.2194395754318</v>
      </c>
      <c r="O66" s="773">
        <f t="shared" si="104"/>
        <v>289.30826928918913</v>
      </c>
      <c r="P66" s="771">
        <f t="shared" si="105"/>
        <v>3995.2541307434112</v>
      </c>
      <c r="Q66" s="519">
        <f t="shared" si="106"/>
        <v>15964.408511210677</v>
      </c>
      <c r="R66" s="521">
        <f t="shared" si="107"/>
        <v>1052.6277560837971</v>
      </c>
      <c r="S66" s="518">
        <f t="shared" si="108"/>
        <v>289.30826928918913</v>
      </c>
      <c r="T66" s="519">
        <f t="shared" si="109"/>
        <v>3995.2541307434112</v>
      </c>
      <c r="U66" s="519">
        <f t="shared" si="110"/>
        <v>21301.598667327075</v>
      </c>
      <c r="X66" s="104"/>
      <c r="Y66" s="104"/>
      <c r="Z66" s="104"/>
      <c r="AA66" s="236"/>
      <c r="AB66" s="118"/>
      <c r="AC66" s="662"/>
      <c r="AD66" s="662"/>
      <c r="AE66" s="118"/>
      <c r="AF66" s="118"/>
      <c r="AG66" s="118"/>
      <c r="AH66" s="105"/>
      <c r="AI66" s="1422"/>
      <c r="AJ66" s="529"/>
      <c r="AK66" s="529"/>
      <c r="AL66" s="529"/>
      <c r="AM66" s="529"/>
      <c r="AN66" s="529"/>
      <c r="AO66" s="1420"/>
      <c r="AP66" s="529"/>
      <c r="AQ66" s="104"/>
    </row>
    <row r="67" spans="1:43">
      <c r="A67" s="4">
        <f>'Input data'!A122</f>
        <v>2022</v>
      </c>
      <c r="B67" s="4"/>
      <c r="C67" s="769">
        <f>'4A SWD Case 1'!BN92</f>
        <v>738.87368217332187</v>
      </c>
      <c r="D67" s="3">
        <f>'4B Biological treatment '!T120</f>
        <v>0.61525960410155989</v>
      </c>
      <c r="E67" s="1157">
        <f>'4B Biological treatment '!U120</f>
        <v>27.686682184570188</v>
      </c>
      <c r="F67" s="1157">
        <f>'4B Biological treatment '!W120</f>
        <v>1.6612009310742113</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15516.347325639759</v>
      </c>
      <c r="M67" s="772">
        <f t="shared" si="102"/>
        <v>12.920451686132758</v>
      </c>
      <c r="N67" s="771">
        <f t="shared" si="103"/>
        <v>1096.3926145089795</v>
      </c>
      <c r="O67" s="773">
        <f t="shared" si="104"/>
        <v>281.88387608267908</v>
      </c>
      <c r="P67" s="771">
        <f t="shared" si="105"/>
        <v>4075.1800556596418</v>
      </c>
      <c r="Q67" s="519">
        <f t="shared" si="106"/>
        <v>15516.347325639759</v>
      </c>
      <c r="R67" s="521">
        <f t="shared" si="107"/>
        <v>1109.3130661951122</v>
      </c>
      <c r="S67" s="518">
        <f t="shared" si="108"/>
        <v>281.88387608267908</v>
      </c>
      <c r="T67" s="519">
        <f t="shared" si="109"/>
        <v>4075.1800556596418</v>
      </c>
      <c r="U67" s="519">
        <f t="shared" si="110"/>
        <v>20982.724323577193</v>
      </c>
      <c r="X67" s="104"/>
      <c r="Y67" s="104"/>
      <c r="Z67" s="104"/>
      <c r="AA67" s="236"/>
      <c r="AB67" s="118"/>
      <c r="AC67" s="662"/>
      <c r="AD67" s="662"/>
      <c r="AE67" s="118"/>
      <c r="AF67" s="118"/>
      <c r="AG67" s="118"/>
      <c r="AH67" s="105"/>
      <c r="AI67" s="1422"/>
      <c r="AJ67" s="529"/>
      <c r="AK67" s="529"/>
      <c r="AL67" s="529"/>
      <c r="AM67" s="529"/>
      <c r="AN67" s="529"/>
      <c r="AO67" s="1420"/>
      <c r="AP67" s="529"/>
      <c r="AQ67" s="104"/>
    </row>
    <row r="68" spans="1:43">
      <c r="A68" s="4">
        <f>'Input data'!A123</f>
        <v>2023</v>
      </c>
      <c r="B68" s="4"/>
      <c r="C68" s="769">
        <f>'4A SWD Case 1'!BN93</f>
        <v>717.36954706463439</v>
      </c>
      <c r="D68" s="3">
        <f>'4B Biological treatment '!T121</f>
        <v>0.65006232825811949</v>
      </c>
      <c r="E68" s="1157">
        <f>'4B Biological treatment '!U121</f>
        <v>29.25280477161537</v>
      </c>
      <c r="F68" s="1157">
        <f>'4B Biological treatment '!W121</f>
        <v>1.755168286296922</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15064.760488357322</v>
      </c>
      <c r="M68" s="772">
        <f t="shared" si="102"/>
        <v>13.651308893420509</v>
      </c>
      <c r="N68" s="771">
        <f t="shared" si="103"/>
        <v>1158.4110689559686</v>
      </c>
      <c r="O68" s="773">
        <f t="shared" si="104"/>
        <v>274.67843923294652</v>
      </c>
      <c r="P68" s="771">
        <f t="shared" si="105"/>
        <v>4156.4168668213024</v>
      </c>
      <c r="Q68" s="519">
        <f t="shared" si="106"/>
        <v>15064.760488357322</v>
      </c>
      <c r="R68" s="521">
        <f t="shared" si="107"/>
        <v>1172.0623778493891</v>
      </c>
      <c r="S68" s="518">
        <f t="shared" si="108"/>
        <v>274.67843923294652</v>
      </c>
      <c r="T68" s="519">
        <f t="shared" si="109"/>
        <v>4156.4168668213024</v>
      </c>
      <c r="U68" s="519">
        <f t="shared" si="110"/>
        <v>20667.918172260961</v>
      </c>
      <c r="X68" s="104"/>
      <c r="Y68" s="104"/>
      <c r="Z68" s="104"/>
      <c r="AA68" s="236"/>
      <c r="AB68" s="118"/>
      <c r="AC68" s="662"/>
      <c r="AD68" s="662"/>
      <c r="AE68" s="118"/>
      <c r="AF68" s="118"/>
      <c r="AG68" s="118"/>
      <c r="AH68" s="105"/>
      <c r="AI68" s="1422"/>
      <c r="AJ68" s="529"/>
      <c r="AK68" s="529"/>
      <c r="AL68" s="529"/>
      <c r="AM68" s="529"/>
      <c r="AN68" s="529"/>
      <c r="AO68" s="1420"/>
      <c r="AP68" s="529"/>
      <c r="AQ68" s="104"/>
    </row>
    <row r="69" spans="1:43">
      <c r="A69" s="4">
        <f>'Input data'!A124</f>
        <v>2024</v>
      </c>
      <c r="B69" s="4"/>
      <c r="C69" s="769">
        <f>'4A SWD Case 1'!BN94</f>
        <v>695.6849877374367</v>
      </c>
      <c r="D69" s="3">
        <f>'4B Biological treatment '!T122</f>
        <v>0.68546956521653613</v>
      </c>
      <c r="E69" s="1157">
        <f>'4B Biological treatment '!U122</f>
        <v>30.846130434744119</v>
      </c>
      <c r="F69" s="1157">
        <f>'4B Biological treatment '!W122</f>
        <v>1.850767826084647</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14609.384742486171</v>
      </c>
      <c r="M69" s="772">
        <f t="shared" si="102"/>
        <v>14.394860869547259</v>
      </c>
      <c r="N69" s="771">
        <f t="shared" si="103"/>
        <v>1221.5067652158671</v>
      </c>
      <c r="O69" s="773">
        <f t="shared" si="104"/>
        <v>267.68465368255238</v>
      </c>
      <c r="P69" s="771">
        <f t="shared" si="105"/>
        <v>4238.9841554957311</v>
      </c>
      <c r="Q69" s="519">
        <f t="shared" si="106"/>
        <v>14609.384742486171</v>
      </c>
      <c r="R69" s="521">
        <f t="shared" si="107"/>
        <v>1235.9016260854144</v>
      </c>
      <c r="S69" s="518">
        <f t="shared" si="108"/>
        <v>267.68465368255238</v>
      </c>
      <c r="T69" s="519">
        <f t="shared" si="109"/>
        <v>4238.9841554957311</v>
      </c>
      <c r="U69" s="519">
        <f t="shared" si="110"/>
        <v>20351.955177749871</v>
      </c>
      <c r="X69" s="104"/>
      <c r="Y69" s="104"/>
      <c r="Z69" s="104"/>
      <c r="AA69" s="236"/>
      <c r="AB69" s="118"/>
      <c r="AC69" s="662"/>
      <c r="AD69" s="662"/>
      <c r="AE69" s="118"/>
      <c r="AF69" s="118"/>
      <c r="AG69" s="118"/>
      <c r="AH69" s="105"/>
      <c r="AI69" s="1422"/>
      <c r="AJ69" s="529"/>
      <c r="AK69" s="529"/>
      <c r="AL69" s="529"/>
      <c r="AM69" s="529"/>
      <c r="AN69" s="529"/>
      <c r="AO69" s="1420"/>
      <c r="AP69" s="529"/>
      <c r="AQ69" s="104"/>
    </row>
    <row r="70" spans="1:43">
      <c r="A70" s="4">
        <f>'Input data'!A125</f>
        <v>2025</v>
      </c>
      <c r="B70" s="4"/>
      <c r="C70" s="769">
        <f>'4A SWD Case 1'!BN95</f>
        <v>673.61232751069451</v>
      </c>
      <c r="D70" s="3">
        <f>'4B Biological treatment '!T123</f>
        <v>0.72064481155876225</v>
      </c>
      <c r="E70" s="1157">
        <f>'4B Biological treatment '!U123</f>
        <v>32.429016520144295</v>
      </c>
      <c r="F70" s="1157">
        <f>'4B Biological treatment '!W123</f>
        <v>1.9457409912086576</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14145.858877724584</v>
      </c>
      <c r="M70" s="772">
        <f t="shared" si="102"/>
        <v>15.133541042734008</v>
      </c>
      <c r="N70" s="771">
        <f t="shared" si="103"/>
        <v>1284.1890541977141</v>
      </c>
      <c r="O70" s="773">
        <f t="shared" si="104"/>
        <v>260.89544660619578</v>
      </c>
      <c r="P70" s="771">
        <f t="shared" si="105"/>
        <v>4322.9017903124422</v>
      </c>
      <c r="Q70" s="519">
        <f t="shared" si="106"/>
        <v>14145.858877724584</v>
      </c>
      <c r="R70" s="521">
        <f t="shared" si="107"/>
        <v>1299.322595240448</v>
      </c>
      <c r="S70" s="518">
        <f t="shared" si="108"/>
        <v>260.89544660619578</v>
      </c>
      <c r="T70" s="519">
        <f t="shared" si="109"/>
        <v>4322.9017903124422</v>
      </c>
      <c r="U70" s="519">
        <f t="shared" si="110"/>
        <v>20028.978709883668</v>
      </c>
      <c r="X70" s="104"/>
      <c r="Y70" s="104"/>
      <c r="Z70" s="104"/>
      <c r="AA70" s="236"/>
      <c r="AB70" s="118"/>
      <c r="AC70" s="662"/>
      <c r="AD70" s="662"/>
      <c r="AE70" s="118"/>
      <c r="AF70" s="118"/>
      <c r="AG70" s="118"/>
      <c r="AH70" s="105"/>
      <c r="AI70" s="1422"/>
      <c r="AJ70" s="529"/>
      <c r="AK70" s="529"/>
      <c r="AL70" s="529"/>
      <c r="AM70" s="529"/>
      <c r="AN70" s="529"/>
      <c r="AO70" s="1420"/>
      <c r="AP70" s="529"/>
      <c r="AQ70" s="104"/>
    </row>
    <row r="71" spans="1:43">
      <c r="A71" s="4">
        <f>'Input data'!A126</f>
        <v>2026</v>
      </c>
      <c r="B71" s="4"/>
      <c r="C71" s="769">
        <f>'4A SWD Case 1'!BN96</f>
        <v>651.50867660488211</v>
      </c>
      <c r="D71" s="3">
        <f>'4B Biological treatment '!T124</f>
        <v>0.75535278681081941</v>
      </c>
      <c r="E71" s="1157">
        <f>'4B Biological treatment '!U124</f>
        <v>33.990875406486872</v>
      </c>
      <c r="F71" s="1157">
        <f>'4B Biological treatment '!W124</f>
        <v>2.0394525243892119</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13681.682208702525</v>
      </c>
      <c r="M71" s="772">
        <f t="shared" si="102"/>
        <v>15.862408523027208</v>
      </c>
      <c r="N71" s="771">
        <f t="shared" si="103"/>
        <v>1346.03866609688</v>
      </c>
      <c r="O71" s="773">
        <f t="shared" si="104"/>
        <v>254.421083403664</v>
      </c>
      <c r="P71" s="771">
        <f t="shared" si="105"/>
        <v>4400.9219620497197</v>
      </c>
      <c r="Q71" s="519">
        <f t="shared" si="106"/>
        <v>13681.682208702525</v>
      </c>
      <c r="R71" s="521">
        <f t="shared" si="107"/>
        <v>1361.9010746199071</v>
      </c>
      <c r="S71" s="518">
        <f t="shared" si="108"/>
        <v>254.421083403664</v>
      </c>
      <c r="T71" s="519">
        <f t="shared" si="109"/>
        <v>4400.9219620497197</v>
      </c>
      <c r="U71" s="519">
        <f t="shared" si="110"/>
        <v>19698.926328775815</v>
      </c>
      <c r="X71" s="104"/>
      <c r="Y71" s="104"/>
      <c r="Z71" s="104"/>
      <c r="AA71" s="236"/>
      <c r="AB71" s="118"/>
      <c r="AC71" s="662"/>
      <c r="AD71" s="662"/>
      <c r="AE71" s="118"/>
      <c r="AF71" s="118"/>
      <c r="AG71" s="118"/>
      <c r="AH71" s="105"/>
      <c r="AI71" s="1422"/>
      <c r="AJ71" s="529"/>
      <c r="AK71" s="529"/>
      <c r="AL71" s="529"/>
      <c r="AM71" s="529"/>
      <c r="AN71" s="529"/>
      <c r="AO71" s="1420"/>
      <c r="AP71" s="529"/>
      <c r="AQ71" s="104"/>
    </row>
    <row r="72" spans="1:43">
      <c r="A72" s="4">
        <f>'Input data'!A127</f>
        <v>2027</v>
      </c>
      <c r="B72" s="4"/>
      <c r="C72" s="769">
        <f>'4A SWD Case 1'!BN97</f>
        <v>629.89513025807139</v>
      </c>
      <c r="D72" s="3">
        <f>'4B Biological treatment '!T125</f>
        <v>0.78991972285281786</v>
      </c>
      <c r="E72" s="1157">
        <f>'4B Biological treatment '!U125</f>
        <v>35.546387528376798</v>
      </c>
      <c r="F72" s="1157">
        <f>'4B Biological treatment '!W125</f>
        <v>2.132783251702608</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13227.797735419499</v>
      </c>
      <c r="M72" s="772">
        <f t="shared" si="102"/>
        <v>16.588314179909176</v>
      </c>
      <c r="N72" s="771">
        <f t="shared" si="103"/>
        <v>1407.6369461237214</v>
      </c>
      <c r="O72" s="773">
        <f t="shared" si="104"/>
        <v>248.16184383159901</v>
      </c>
      <c r="P72" s="771">
        <f t="shared" si="105"/>
        <v>4480.0594606132472</v>
      </c>
      <c r="Q72" s="519">
        <f t="shared" si="106"/>
        <v>13227.797735419499</v>
      </c>
      <c r="R72" s="521">
        <f t="shared" si="107"/>
        <v>1424.2252603036306</v>
      </c>
      <c r="S72" s="518">
        <f t="shared" si="108"/>
        <v>248.16184383159901</v>
      </c>
      <c r="T72" s="519">
        <f t="shared" si="109"/>
        <v>4480.0594606132472</v>
      </c>
      <c r="U72" s="519">
        <f t="shared" si="110"/>
        <v>19380.244300167975</v>
      </c>
      <c r="X72" s="104"/>
      <c r="Y72" s="104"/>
      <c r="Z72" s="104"/>
      <c r="AA72" s="236"/>
      <c r="AB72" s="118"/>
      <c r="AC72" s="662"/>
      <c r="AD72" s="662"/>
      <c r="AE72" s="118"/>
      <c r="AF72" s="118"/>
      <c r="AG72" s="118"/>
      <c r="AH72" s="105"/>
      <c r="AI72" s="1422"/>
      <c r="AJ72" s="529"/>
      <c r="AK72" s="529"/>
      <c r="AL72" s="529"/>
      <c r="AM72" s="529"/>
      <c r="AN72" s="529"/>
      <c r="AO72" s="1420"/>
      <c r="AP72" s="529"/>
      <c r="AQ72" s="104"/>
    </row>
    <row r="73" spans="1:43">
      <c r="A73" s="4">
        <f>'Input data'!A128</f>
        <v>2028</v>
      </c>
      <c r="B73" s="4"/>
      <c r="C73" s="769">
        <f>'4A SWD Case 1'!BN98</f>
        <v>608.77109200824361</v>
      </c>
      <c r="D73" s="3">
        <f>'4B Biological treatment '!T126</f>
        <v>0.79398044089865216</v>
      </c>
      <c r="E73" s="1157">
        <f>'4B Biological treatment '!U126</f>
        <v>35.729119840439346</v>
      </c>
      <c r="F73" s="1157">
        <f>'4B Biological treatment '!W126</f>
        <v>2.1437471904263607</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12784.192932173115</v>
      </c>
      <c r="M73" s="772">
        <f t="shared" si="102"/>
        <v>16.673589258871694</v>
      </c>
      <c r="N73" s="771">
        <f t="shared" si="103"/>
        <v>1414.873145681398</v>
      </c>
      <c r="O73" s="773">
        <f t="shared" si="104"/>
        <v>234.55354113759998</v>
      </c>
      <c r="P73" s="771">
        <f t="shared" si="105"/>
        <v>4560.3287251503234</v>
      </c>
      <c r="Q73" s="519">
        <f t="shared" si="106"/>
        <v>12784.192932173115</v>
      </c>
      <c r="R73" s="521">
        <f t="shared" si="107"/>
        <v>1431.5467349402697</v>
      </c>
      <c r="S73" s="518">
        <f t="shared" si="108"/>
        <v>234.55354113759998</v>
      </c>
      <c r="T73" s="519">
        <f t="shared" si="109"/>
        <v>4560.3287251503234</v>
      </c>
      <c r="U73" s="519">
        <f t="shared" si="110"/>
        <v>19010.621933401308</v>
      </c>
      <c r="X73" s="104"/>
      <c r="Y73" s="104"/>
      <c r="Z73" s="104"/>
      <c r="AA73" s="236"/>
      <c r="AB73" s="118"/>
      <c r="AC73" s="662"/>
      <c r="AD73" s="662"/>
      <c r="AE73" s="118"/>
      <c r="AF73" s="118"/>
      <c r="AG73" s="118"/>
      <c r="AH73" s="105"/>
      <c r="AI73" s="1422"/>
      <c r="AJ73" s="529"/>
      <c r="AK73" s="529"/>
      <c r="AL73" s="529"/>
      <c r="AM73" s="529"/>
      <c r="AN73" s="529"/>
      <c r="AO73" s="1420"/>
      <c r="AP73" s="529"/>
      <c r="AQ73" s="104"/>
    </row>
    <row r="74" spans="1:43">
      <c r="A74" s="4">
        <f>'Input data'!A129</f>
        <v>2029</v>
      </c>
      <c r="B74" s="4"/>
      <c r="C74" s="769">
        <f>'4A SWD Case 1'!BN99</f>
        <v>588.34197920861959</v>
      </c>
      <c r="D74" s="3">
        <f>'4B Biological treatment '!T127</f>
        <v>0.79903525250698149</v>
      </c>
      <c r="E74" s="1157">
        <f>'4B Biological treatment '!U127</f>
        <v>35.956586362814157</v>
      </c>
      <c r="F74" s="1157">
        <f>'4B Biological treatment '!W127</f>
        <v>2.1573951817688495</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12355.181563381011</v>
      </c>
      <c r="M74" s="772">
        <f t="shared" si="102"/>
        <v>16.779740302646612</v>
      </c>
      <c r="N74" s="771">
        <f t="shared" si="103"/>
        <v>1423.8808199674406</v>
      </c>
      <c r="O74" s="773">
        <f t="shared" si="104"/>
        <v>221.70018656133303</v>
      </c>
      <c r="P74" s="771">
        <f t="shared" si="105"/>
        <v>4641.7443708292039</v>
      </c>
      <c r="Q74" s="519">
        <f t="shared" si="106"/>
        <v>12355.181563381011</v>
      </c>
      <c r="R74" s="521">
        <f t="shared" si="107"/>
        <v>1440.6605602700872</v>
      </c>
      <c r="S74" s="518">
        <f t="shared" si="108"/>
        <v>221.70018656133303</v>
      </c>
      <c r="T74" s="519">
        <f t="shared" si="109"/>
        <v>4641.7443708292039</v>
      </c>
      <c r="U74" s="519">
        <f t="shared" si="110"/>
        <v>18659.286681041634</v>
      </c>
      <c r="X74" s="104"/>
      <c r="Y74" s="104"/>
      <c r="Z74" s="104"/>
      <c r="AA74" s="236"/>
      <c r="AB74" s="118"/>
      <c r="AC74" s="662"/>
      <c r="AD74" s="662"/>
      <c r="AE74" s="118"/>
      <c r="AF74" s="118"/>
      <c r="AG74" s="118"/>
      <c r="AH74" s="105"/>
      <c r="AI74" s="1422"/>
      <c r="AJ74" s="529"/>
      <c r="AK74" s="529"/>
      <c r="AL74" s="529"/>
      <c r="AM74" s="529"/>
      <c r="AN74" s="529"/>
      <c r="AO74" s="1420"/>
      <c r="AP74" s="529"/>
      <c r="AQ74" s="104"/>
    </row>
    <row r="75" spans="1:43">
      <c r="A75" s="4">
        <f>'Input data'!A130</f>
        <v>2030</v>
      </c>
      <c r="B75" s="4"/>
      <c r="C75" s="769">
        <f>'4A SWD Case 1'!BN100</f>
        <v>568.58548368183165</v>
      </c>
      <c r="D75" s="3">
        <f>'4B Biological treatment '!T128</f>
        <v>0.80404035914521621</v>
      </c>
      <c r="E75" s="1157">
        <f>'4B Biological treatment '!U128</f>
        <v>36.181816161534726</v>
      </c>
      <c r="F75" s="1157">
        <f>'4B Biological treatment '!W128</f>
        <v>2.1709089696920838</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11940.295157318465</v>
      </c>
      <c r="M75" s="772">
        <f t="shared" si="102"/>
        <v>16.884847542049542</v>
      </c>
      <c r="N75" s="771">
        <f t="shared" si="103"/>
        <v>1432.7999199967753</v>
      </c>
      <c r="O75" s="773">
        <f t="shared" si="104"/>
        <v>209.55929653855324</v>
      </c>
      <c r="P75" s="771">
        <f t="shared" si="105"/>
        <v>4724.3211909055435</v>
      </c>
      <c r="Q75" s="519">
        <f t="shared" si="106"/>
        <v>11940.295157318465</v>
      </c>
      <c r="R75" s="521">
        <f t="shared" si="107"/>
        <v>1449.6847675388249</v>
      </c>
      <c r="S75" s="518">
        <f t="shared" si="108"/>
        <v>209.55929653855324</v>
      </c>
      <c r="T75" s="519">
        <f t="shared" si="109"/>
        <v>4724.3211909055435</v>
      </c>
      <c r="U75" s="519">
        <f t="shared" si="110"/>
        <v>18323.860412301387</v>
      </c>
      <c r="X75" s="104"/>
      <c r="Y75" s="104"/>
      <c r="Z75" s="104"/>
      <c r="AA75" s="236"/>
      <c r="AB75" s="118"/>
      <c r="AC75" s="662"/>
      <c r="AD75" s="662"/>
      <c r="AE75" s="118"/>
      <c r="AF75" s="118"/>
      <c r="AG75" s="118"/>
      <c r="AH75" s="105"/>
      <c r="AI75" s="1422"/>
      <c r="AJ75" s="529"/>
      <c r="AK75" s="529"/>
      <c r="AL75" s="529"/>
      <c r="AM75" s="529"/>
      <c r="AN75" s="529"/>
      <c r="AO75" s="1420"/>
      <c r="AP75" s="529"/>
      <c r="AQ75" s="104"/>
    </row>
    <row r="76" spans="1:43">
      <c r="A76" s="4">
        <f>'Input data'!A131</f>
        <v>2031</v>
      </c>
      <c r="B76" s="4"/>
      <c r="C76" s="769">
        <f>'4A SWD Case 1'!BN101</f>
        <v>549.48011264296349</v>
      </c>
      <c r="D76" s="3">
        <f>'4B Biological treatment '!T129</f>
        <v>0.80950256380984476</v>
      </c>
      <c r="E76" s="1157">
        <f>'4B Biological treatment '!U129</f>
        <v>36.427615371443011</v>
      </c>
      <c r="F76" s="1157">
        <f>'4B Biological treatment '!W129</f>
        <v>2.1856569222865807</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11539.082365502234</v>
      </c>
      <c r="M76" s="772">
        <f t="shared" si="102"/>
        <v>16.99955384000674</v>
      </c>
      <c r="N76" s="771">
        <f t="shared" si="103"/>
        <v>1442.5335687091433</v>
      </c>
      <c r="O76" s="773">
        <f t="shared" si="104"/>
        <v>199.12484182484837</v>
      </c>
      <c r="P76" s="771">
        <f t="shared" si="105"/>
        <v>4801.8266337074856</v>
      </c>
      <c r="Q76" s="519">
        <f t="shared" si="106"/>
        <v>11539.082365502234</v>
      </c>
      <c r="R76" s="521">
        <f t="shared" si="107"/>
        <v>1459.53312254915</v>
      </c>
      <c r="S76" s="518">
        <f t="shared" si="108"/>
        <v>199.12484182484837</v>
      </c>
      <c r="T76" s="519">
        <f t="shared" si="109"/>
        <v>4801.8266337074856</v>
      </c>
      <c r="U76" s="519">
        <f t="shared" si="110"/>
        <v>17999.566963583718</v>
      </c>
      <c r="X76" s="104"/>
      <c r="Y76" s="104"/>
      <c r="Z76" s="104"/>
      <c r="AA76" s="236"/>
      <c r="AB76" s="118"/>
      <c r="AC76" s="662"/>
      <c r="AD76" s="662"/>
      <c r="AE76" s="118"/>
      <c r="AF76" s="118"/>
      <c r="AG76" s="118"/>
      <c r="AH76" s="105"/>
      <c r="AI76" s="1422"/>
      <c r="AJ76" s="1403"/>
      <c r="AK76" s="529"/>
      <c r="AL76" s="529"/>
      <c r="AM76" s="529"/>
      <c r="AN76" s="529"/>
      <c r="AO76" s="1420"/>
      <c r="AP76" s="529"/>
      <c r="AQ76" s="104"/>
    </row>
    <row r="77" spans="1:43">
      <c r="A77" s="4">
        <f>'Input data'!A132</f>
        <v>2032</v>
      </c>
      <c r="B77" s="4"/>
      <c r="C77" s="769">
        <f>'4A SWD Case 1'!BN102</f>
        <v>531.00720268621626</v>
      </c>
      <c r="D77" s="3">
        <f>'4B Biological treatment '!T130</f>
        <v>0.81592369679529431</v>
      </c>
      <c r="E77" s="1157">
        <f>'4B Biological treatment '!U130</f>
        <v>36.716566355788245</v>
      </c>
      <c r="F77" s="1157">
        <f>'4B Biological treatment '!W130</f>
        <v>2.2029939813472943</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11151.151256410541</v>
      </c>
      <c r="M77" s="772">
        <f t="shared" si="102"/>
        <v>17.13439763270118</v>
      </c>
      <c r="N77" s="771">
        <f t="shared" si="103"/>
        <v>1453.9760276892143</v>
      </c>
      <c r="O77" s="773">
        <f t="shared" si="104"/>
        <v>188.7479302250164</v>
      </c>
      <c r="P77" s="771">
        <f t="shared" si="105"/>
        <v>4880.3108912879725</v>
      </c>
      <c r="Q77" s="519">
        <f t="shared" si="106"/>
        <v>11151.151256410541</v>
      </c>
      <c r="R77" s="521">
        <f t="shared" si="107"/>
        <v>1471.1104253219155</v>
      </c>
      <c r="S77" s="518">
        <f t="shared" si="108"/>
        <v>188.7479302250164</v>
      </c>
      <c r="T77" s="519">
        <f t="shared" si="109"/>
        <v>4880.3108912879725</v>
      </c>
      <c r="U77" s="519">
        <f t="shared" si="110"/>
        <v>17691.320503245443</v>
      </c>
      <c r="X77" s="104"/>
      <c r="Y77" s="104"/>
      <c r="Z77" s="104"/>
      <c r="AA77" s="236"/>
      <c r="AB77" s="118"/>
      <c r="AC77" s="662"/>
      <c r="AD77" s="662"/>
      <c r="AE77" s="118"/>
      <c r="AF77" s="118"/>
      <c r="AG77" s="118"/>
      <c r="AH77" s="105"/>
      <c r="AI77" s="1422"/>
      <c r="AJ77" s="1403"/>
      <c r="AK77" s="529"/>
      <c r="AL77" s="529"/>
      <c r="AM77" s="529"/>
      <c r="AN77" s="529"/>
      <c r="AO77" s="1420"/>
      <c r="AP77" s="529"/>
      <c r="AQ77" s="104"/>
    </row>
    <row r="78" spans="1:43">
      <c r="A78" s="4">
        <f>'Input data'!A133</f>
        <v>2033</v>
      </c>
      <c r="B78" s="4"/>
      <c r="C78" s="769">
        <f>'4A SWD Case 1'!BN103</f>
        <v>513.12866112021754</v>
      </c>
      <c r="D78" s="3">
        <f>'4B Biological treatment '!T131</f>
        <v>0.82285459056188603</v>
      </c>
      <c r="E78" s="1157">
        <f>'4B Biological treatment '!U131</f>
        <v>37.028456575284864</v>
      </c>
      <c r="F78" s="1157">
        <f>'4B Biological treatment '!W131</f>
        <v>2.2217073945170922</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10775.701883524569</v>
      </c>
      <c r="M78" s="772">
        <f t="shared" si="102"/>
        <v>17.279946401799606</v>
      </c>
      <c r="N78" s="771">
        <f t="shared" si="103"/>
        <v>1466.3268803812807</v>
      </c>
      <c r="O78" s="773">
        <f t="shared" si="104"/>
        <v>178.42741871714372</v>
      </c>
      <c r="P78" s="771">
        <f t="shared" si="105"/>
        <v>4959.7850255740987</v>
      </c>
      <c r="Q78" s="519">
        <f t="shared" si="106"/>
        <v>10775.701883524569</v>
      </c>
      <c r="R78" s="521">
        <f t="shared" si="107"/>
        <v>1483.6068267830804</v>
      </c>
      <c r="S78" s="518">
        <f t="shared" si="108"/>
        <v>178.42741871714372</v>
      </c>
      <c r="T78" s="519">
        <f t="shared" si="109"/>
        <v>4959.7850255740987</v>
      </c>
      <c r="U78" s="519">
        <f t="shared" si="110"/>
        <v>17397.52115459889</v>
      </c>
      <c r="X78" s="104"/>
      <c r="Y78" s="104"/>
      <c r="Z78" s="104"/>
      <c r="AA78" s="236"/>
      <c r="AB78" s="118"/>
      <c r="AC78" s="662"/>
      <c r="AD78" s="662"/>
      <c r="AE78" s="118"/>
      <c r="AF78" s="118"/>
      <c r="AG78" s="118"/>
      <c r="AH78" s="105"/>
      <c r="AI78" s="1422"/>
      <c r="AJ78" s="1403"/>
      <c r="AK78" s="529"/>
      <c r="AL78" s="529"/>
      <c r="AM78" s="529"/>
      <c r="AN78" s="529"/>
      <c r="AO78" s="1420"/>
      <c r="AP78" s="529"/>
      <c r="AQ78" s="104"/>
    </row>
    <row r="79" spans="1:43">
      <c r="A79" s="4">
        <f>'Input data'!A134</f>
        <v>2034</v>
      </c>
      <c r="B79" s="4"/>
      <c r="C79" s="769">
        <f>'4A SWD Case 1'!BN104</f>
        <v>495.80824803164035</v>
      </c>
      <c r="D79" s="3">
        <f>'4B Biological treatment '!T132</f>
        <v>0.83094331513572506</v>
      </c>
      <c r="E79" s="1157">
        <f>'4B Biological treatment '!U132</f>
        <v>37.392449181107629</v>
      </c>
      <c r="F79" s="1157">
        <f>'4B Biological treatment '!W132</f>
        <v>2.2435469508664578</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10411.973208664447</v>
      </c>
      <c r="M79" s="772">
        <f t="shared" si="102"/>
        <v>17.449809617850228</v>
      </c>
      <c r="N79" s="771">
        <f t="shared" si="103"/>
        <v>1480.7409875718622</v>
      </c>
      <c r="O79" s="773">
        <f t="shared" si="104"/>
        <v>168.16219083511854</v>
      </c>
      <c r="P79" s="771">
        <f t="shared" si="105"/>
        <v>5040.2602160131582</v>
      </c>
      <c r="Q79" s="519">
        <f t="shared" si="106"/>
        <v>10411.973208664447</v>
      </c>
      <c r="R79" s="521">
        <f t="shared" si="107"/>
        <v>1498.1907971897124</v>
      </c>
      <c r="S79" s="518">
        <f t="shared" si="108"/>
        <v>168.16219083511854</v>
      </c>
      <c r="T79" s="519">
        <f t="shared" si="109"/>
        <v>5040.2602160131582</v>
      </c>
      <c r="U79" s="519">
        <f t="shared" si="110"/>
        <v>17118.586412702436</v>
      </c>
      <c r="X79" s="104"/>
      <c r="Y79" s="104"/>
      <c r="Z79" s="104"/>
      <c r="AA79" s="236"/>
      <c r="AB79" s="118"/>
      <c r="AC79" s="662"/>
      <c r="AD79" s="662"/>
      <c r="AE79" s="118"/>
      <c r="AF79" s="118"/>
      <c r="AG79" s="118"/>
      <c r="AH79" s="105"/>
      <c r="AI79" s="1422"/>
      <c r="AJ79" s="1403"/>
      <c r="AK79" s="529"/>
      <c r="AL79" s="529"/>
      <c r="AM79" s="529"/>
      <c r="AN79" s="529"/>
      <c r="AO79" s="1420"/>
      <c r="AP79" s="529"/>
      <c r="AQ79" s="104"/>
    </row>
    <row r="80" spans="1:43">
      <c r="A80" s="4">
        <f>'Input data'!A135</f>
        <v>2035</v>
      </c>
      <c r="B80" s="4"/>
      <c r="C80" s="769">
        <f>'4A SWD Case 1'!BN105</f>
        <v>479.01148624321905</v>
      </c>
      <c r="D80" s="3">
        <f>'4B Biological treatment '!T133</f>
        <v>0.83746647205563074</v>
      </c>
      <c r="E80" s="1157">
        <f>'4B Biological treatment '!U133</f>
        <v>37.685991242503377</v>
      </c>
      <c r="F80" s="1157">
        <f>'4B Biological treatment '!W133</f>
        <v>2.2611594745502028</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10059.241211107601</v>
      </c>
      <c r="M80" s="772">
        <f t="shared" si="102"/>
        <v>17.586795913168245</v>
      </c>
      <c r="N80" s="771">
        <f t="shared" si="103"/>
        <v>1492.3652532031338</v>
      </c>
      <c r="O80" s="773">
        <f t="shared" si="104"/>
        <v>157.95115591721603</v>
      </c>
      <c r="P80" s="771">
        <f t="shared" si="105"/>
        <v>5121.7477607728442</v>
      </c>
      <c r="Q80" s="519">
        <f t="shared" si="106"/>
        <v>10059.241211107601</v>
      </c>
      <c r="R80" s="521">
        <f t="shared" si="107"/>
        <v>1509.9520491163021</v>
      </c>
      <c r="S80" s="518">
        <f t="shared" si="108"/>
        <v>157.95115591721603</v>
      </c>
      <c r="T80" s="519">
        <f t="shared" si="109"/>
        <v>5121.7477607728442</v>
      </c>
      <c r="U80" s="519">
        <f t="shared" si="110"/>
        <v>16848.892176913963</v>
      </c>
      <c r="X80" s="104"/>
      <c r="Y80" s="104"/>
      <c r="Z80" s="104"/>
      <c r="AA80" s="236"/>
      <c r="AB80" s="118"/>
      <c r="AC80" s="662"/>
      <c r="AD80" s="662"/>
      <c r="AE80" s="118"/>
      <c r="AF80" s="118"/>
      <c r="AG80" s="118"/>
      <c r="AH80" s="105"/>
      <c r="AI80" s="1422"/>
      <c r="AJ80" s="1403"/>
      <c r="AK80" s="529"/>
      <c r="AL80" s="529"/>
      <c r="AM80" s="529"/>
      <c r="AN80" s="529"/>
      <c r="AO80" s="1420"/>
      <c r="AP80" s="529"/>
      <c r="AQ80" s="104"/>
    </row>
    <row r="81" spans="1:43">
      <c r="A81" s="4">
        <f>'Input data'!A136</f>
        <v>2036</v>
      </c>
      <c r="B81" s="4"/>
      <c r="C81" s="769">
        <f>'4A SWD Case 1'!BN106</f>
        <v>463.46049420350579</v>
      </c>
      <c r="D81" s="3">
        <f>'4B Biological treatment '!T134</f>
        <v>0.84378297956130932</v>
      </c>
      <c r="E81" s="1157">
        <f>'4B Biological treatment '!U134</f>
        <v>37.970234080258919</v>
      </c>
      <c r="F81" s="1157">
        <f>'4B Biological treatment '!W134</f>
        <v>2.278214044815535</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9732.6703782736222</v>
      </c>
      <c r="M81" s="772">
        <f t="shared" si="102"/>
        <v>17.719442570787496</v>
      </c>
      <c r="N81" s="771">
        <f t="shared" si="103"/>
        <v>1503.6212695782531</v>
      </c>
      <c r="O81" s="773">
        <f t="shared" si="104"/>
        <v>147.84395852682215</v>
      </c>
      <c r="P81" s="771">
        <f t="shared" si="105"/>
        <v>5197.9991360271206</v>
      </c>
      <c r="Q81" s="519">
        <f t="shared" si="106"/>
        <v>9732.6703782736222</v>
      </c>
      <c r="R81" s="521">
        <f t="shared" si="107"/>
        <v>1521.3407121490407</v>
      </c>
      <c r="S81" s="518">
        <f t="shared" si="108"/>
        <v>147.84395852682215</v>
      </c>
      <c r="T81" s="519">
        <f t="shared" si="109"/>
        <v>5197.9991360271206</v>
      </c>
      <c r="U81" s="519">
        <f t="shared" si="110"/>
        <v>16599.854184976604</v>
      </c>
      <c r="X81" s="104"/>
      <c r="Y81" s="1400"/>
      <c r="Z81" s="1400"/>
      <c r="AA81" s="1398"/>
      <c r="AB81" s="1404"/>
      <c r="AC81" s="1401"/>
      <c r="AD81" s="1401"/>
      <c r="AE81" s="1141"/>
      <c r="AF81" s="1141"/>
      <c r="AG81" s="1141"/>
      <c r="AH81" s="1402"/>
      <c r="AI81" s="1421"/>
      <c r="AJ81" s="529"/>
      <c r="AK81" s="529"/>
      <c r="AL81" s="529"/>
      <c r="AM81" s="529"/>
      <c r="AN81" s="529"/>
      <c r="AO81" s="1420"/>
      <c r="AP81" s="529"/>
      <c r="AQ81" s="104"/>
    </row>
    <row r="82" spans="1:43">
      <c r="A82" s="4">
        <f>'Input data'!A137</f>
        <v>2037</v>
      </c>
      <c r="B82" s="4"/>
      <c r="C82" s="769">
        <f>'4A SWD Case 1'!BN107</f>
        <v>449.95533208512865</v>
      </c>
      <c r="D82" s="3">
        <f>'4B Biological treatment '!T135</f>
        <v>0.85084097894940547</v>
      </c>
      <c r="E82" s="1157">
        <f>'4B Biological treatment '!U135</f>
        <v>38.287844052723237</v>
      </c>
      <c r="F82" s="1157">
        <f>'4B Biological treatment '!W135</f>
        <v>2.2972706431633942</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9449.0619737877023</v>
      </c>
      <c r="M82" s="772">
        <f t="shared" si="102"/>
        <v>17.867660557937516</v>
      </c>
      <c r="N82" s="771">
        <f t="shared" si="103"/>
        <v>1516.1986244878403</v>
      </c>
      <c r="O82" s="773">
        <f t="shared" si="104"/>
        <v>144.25651033931339</v>
      </c>
      <c r="P82" s="771">
        <f t="shared" si="105"/>
        <v>5275.0924855187541</v>
      </c>
      <c r="Q82" s="519">
        <f t="shared" si="106"/>
        <v>9449.0619737877023</v>
      </c>
      <c r="R82" s="521">
        <f t="shared" si="107"/>
        <v>1534.0662850457779</v>
      </c>
      <c r="S82" s="518">
        <f t="shared" si="108"/>
        <v>144.25651033931339</v>
      </c>
      <c r="T82" s="519">
        <f t="shared" si="109"/>
        <v>5275.0924855187541</v>
      </c>
      <c r="U82" s="519">
        <f t="shared" si="110"/>
        <v>16402.477254691548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437.75367925420039</v>
      </c>
      <c r="D83" s="3">
        <f>'4B Biological treatment '!T136</f>
        <v>0.85784666798126374</v>
      </c>
      <c r="E83" s="1157">
        <f>'4B Biological treatment '!U136</f>
        <v>38.603100059156858</v>
      </c>
      <c r="F83" s="1157">
        <f>'4B Biological treatment '!W136</f>
        <v>2.3161860035494115</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9192.8272643382079</v>
      </c>
      <c r="M83" s="772">
        <f t="shared" si="102"/>
        <v>18.014780027606538</v>
      </c>
      <c r="N83" s="771">
        <f t="shared" si="103"/>
        <v>1528.6827623426116</v>
      </c>
      <c r="O83" s="773">
        <f t="shared" si="104"/>
        <v>137.79108332877814</v>
      </c>
      <c r="P83" s="771">
        <f t="shared" si="105"/>
        <v>5353.0360506752186</v>
      </c>
      <c r="Q83" s="519">
        <f t="shared" si="106"/>
        <v>9192.8272643382079</v>
      </c>
      <c r="R83" s="521">
        <f t="shared" si="107"/>
        <v>1546.6975423702181</v>
      </c>
      <c r="S83" s="518">
        <f t="shared" si="108"/>
        <v>137.79108332877814</v>
      </c>
      <c r="T83" s="519">
        <f t="shared" si="109"/>
        <v>5353.0360506752186</v>
      </c>
      <c r="U83" s="519">
        <f t="shared" si="110"/>
        <v>16230.351940712424</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426.32869348162097</v>
      </c>
      <c r="D84" s="3">
        <f>'4B Biological treatment '!T137</f>
        <v>0.8652151689909412</v>
      </c>
      <c r="E84" s="1157">
        <f>'4B Biological treatment '!U137</f>
        <v>38.934682604592346</v>
      </c>
      <c r="F84" s="1157">
        <f>'4B Biological treatment '!W137</f>
        <v>2.3360809562755409</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8952.9025631140412</v>
      </c>
      <c r="M84" s="772">
        <f t="shared" si="102"/>
        <v>18.169518548809766</v>
      </c>
      <c r="N84" s="771">
        <f t="shared" si="103"/>
        <v>1541.8134311418571</v>
      </c>
      <c r="O84" s="773">
        <f t="shared" si="104"/>
        <v>131.35405873525082</v>
      </c>
      <c r="P84" s="771">
        <f t="shared" si="105"/>
        <v>5431.8381484682886</v>
      </c>
      <c r="Q84" s="519">
        <f t="shared" si="106"/>
        <v>8952.9025631140412</v>
      </c>
      <c r="R84" s="521">
        <f t="shared" si="107"/>
        <v>1559.9829496906668</v>
      </c>
      <c r="S84" s="518">
        <f t="shared" si="108"/>
        <v>131.35405873525082</v>
      </c>
      <c r="T84" s="519">
        <f t="shared" si="109"/>
        <v>5431.8381484682886</v>
      </c>
      <c r="U84" s="519">
        <f t="shared" si="110"/>
        <v>16076.077720008247</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415.65172014279216</v>
      </c>
      <c r="D85" s="3">
        <f>'4B Biological treatment '!T138</f>
        <v>0.8726769482306409</v>
      </c>
      <c r="E85" s="1157">
        <f>'4B Biological treatment '!U138</f>
        <v>39.270462670378834</v>
      </c>
      <c r="F85" s="1157">
        <f>'4B Biological treatment '!W138</f>
        <v>2.3562277602227302</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8728.6861229986353</v>
      </c>
      <c r="M85" s="772">
        <f t="shared" si="102"/>
        <v>18.326215912843459</v>
      </c>
      <c r="N85" s="771">
        <f t="shared" si="103"/>
        <v>1555.1103217470018</v>
      </c>
      <c r="O85" s="773">
        <f t="shared" si="104"/>
        <v>124.94496389699975</v>
      </c>
      <c r="P85" s="771">
        <f t="shared" si="105"/>
        <v>5511.507172078449</v>
      </c>
      <c r="Q85" s="519">
        <f t="shared" si="106"/>
        <v>8728.6861229986353</v>
      </c>
      <c r="R85" s="521">
        <f t="shared" si="107"/>
        <v>1573.4365376598453</v>
      </c>
      <c r="S85" s="518">
        <f t="shared" si="108"/>
        <v>124.94496389699975</v>
      </c>
      <c r="T85" s="519">
        <f t="shared" si="109"/>
        <v>5511.507172078449</v>
      </c>
      <c r="U85" s="519">
        <f t="shared" si="110"/>
        <v>15938.57479663393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405.69418544885218</v>
      </c>
      <c r="D86" s="3">
        <f>'4B Biological treatment '!T139</f>
        <v>0.88088565226415672</v>
      </c>
      <c r="E86" s="1157">
        <f>'4B Biological treatment '!U139</f>
        <v>39.639854351887045</v>
      </c>
      <c r="F86" s="1157">
        <f>'4B Biological treatment '!W139</f>
        <v>2.3783912611132227</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8519.5778944258964</v>
      </c>
      <c r="M86" s="772">
        <f t="shared" si="102"/>
        <v>18.49859869754729</v>
      </c>
      <c r="N86" s="771">
        <f t="shared" si="103"/>
        <v>1569.7382323347269</v>
      </c>
      <c r="O86" s="773">
        <f t="shared" si="104"/>
        <v>118.59896220497515</v>
      </c>
      <c r="P86" s="771">
        <f t="shared" si="105"/>
        <v>5585.8882679954158</v>
      </c>
      <c r="Q86" s="519">
        <f t="shared" si="106"/>
        <v>8519.5778944258964</v>
      </c>
      <c r="R86" s="521">
        <f t="shared" si="107"/>
        <v>1588.2368310322743</v>
      </c>
      <c r="S86" s="518">
        <f t="shared" si="108"/>
        <v>118.59896220497515</v>
      </c>
      <c r="T86" s="519">
        <f t="shared" si="109"/>
        <v>5585.8882679954158</v>
      </c>
      <c r="U86" s="519">
        <f t="shared" si="110"/>
        <v>15812.30195565856</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396.02227562085125</v>
      </c>
      <c r="D87" s="3">
        <f>'4B Biological treatment '!T140</f>
        <v>0.88885701624084912</v>
      </c>
      <c r="E87" s="1157">
        <f>'4B Biological treatment '!U140</f>
        <v>39.998565730838202</v>
      </c>
      <c r="F87" s="1157">
        <f>'4B Biological treatment '!W140</f>
        <v>2.3999139438502919</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8316.4677880378767</v>
      </c>
      <c r="M87" s="772">
        <f t="shared" si="102"/>
        <v>18.665997341057832</v>
      </c>
      <c r="N87" s="771">
        <f t="shared" si="103"/>
        <v>1583.9432029411928</v>
      </c>
      <c r="O87" s="773">
        <f t="shared" si="104"/>
        <v>112.27558743164121</v>
      </c>
      <c r="P87" s="771">
        <f t="shared" si="105"/>
        <v>5660.9807054541461</v>
      </c>
      <c r="Q87" s="519">
        <f t="shared" si="106"/>
        <v>8316.4677880378767</v>
      </c>
      <c r="R87" s="521">
        <f t="shared" si="107"/>
        <v>1602.6092002822506</v>
      </c>
      <c r="S87" s="518">
        <f t="shared" si="108"/>
        <v>112.27558743164121</v>
      </c>
      <c r="T87" s="519">
        <f t="shared" si="109"/>
        <v>5660.9807054541461</v>
      </c>
      <c r="U87" s="519">
        <f t="shared" si="110"/>
        <v>15692.333281205916</v>
      </c>
    </row>
    <row r="88" spans="1:43">
      <c r="A88" s="4">
        <f>'Input data'!A143</f>
        <v>2043</v>
      </c>
      <c r="B88" s="4"/>
      <c r="C88" s="769">
        <f>'4A SWD Case 1'!BN113</f>
        <v>386.63325742479043</v>
      </c>
      <c r="D88" s="3">
        <f>'4B Biological treatment '!T141</f>
        <v>0.89700320759428354</v>
      </c>
      <c r="E88" s="1157">
        <f>'4B Biological treatment '!U141</f>
        <v>40.365144341742763</v>
      </c>
      <c r="F88" s="1157">
        <f>'4B Biological treatment '!W141</f>
        <v>2.4219086605045654</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8119.2984059205992</v>
      </c>
      <c r="M88" s="772">
        <f t="shared" si="102"/>
        <v>18.837067359479953</v>
      </c>
      <c r="N88" s="771">
        <f t="shared" si="103"/>
        <v>1598.4597159330133</v>
      </c>
      <c r="O88" s="773">
        <f t="shared" si="104"/>
        <v>105.9745212931887</v>
      </c>
      <c r="P88" s="771">
        <f t="shared" si="105"/>
        <v>5736.7904513402209</v>
      </c>
      <c r="Q88" s="519">
        <f t="shared" si="106"/>
        <v>8119.2984059205992</v>
      </c>
      <c r="R88" s="521">
        <f t="shared" si="107"/>
        <v>1617.2967832924933</v>
      </c>
      <c r="S88" s="518">
        <f t="shared" si="108"/>
        <v>105.9745212931887</v>
      </c>
      <c r="T88" s="519">
        <f t="shared" si="109"/>
        <v>5736.7904513402209</v>
      </c>
      <c r="U88" s="519">
        <f t="shared" si="110"/>
        <v>15579.360161846502</v>
      </c>
    </row>
    <row r="89" spans="1:43">
      <c r="A89" s="4">
        <f>'Input data'!A144</f>
        <v>2044</v>
      </c>
      <c r="B89" s="4"/>
      <c r="C89" s="769">
        <f>'4A SWD Case 1'!BN114</f>
        <v>377.52556534052405</v>
      </c>
      <c r="D89" s="3">
        <f>'4B Biological treatment '!T142</f>
        <v>0.90543516301832161</v>
      </c>
      <c r="E89" s="1157">
        <f>'4B Biological treatment '!U142</f>
        <v>40.744582335824468</v>
      </c>
      <c r="F89" s="1157">
        <f>'4B Biological treatment '!W142</f>
        <v>2.4446749401494681</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7928.0368721510049</v>
      </c>
      <c r="M89" s="772">
        <f t="shared" si="102"/>
        <v>19.014138423384754</v>
      </c>
      <c r="N89" s="771">
        <f t="shared" si="103"/>
        <v>1613.485460498649</v>
      </c>
      <c r="O89" s="773">
        <f t="shared" si="104"/>
        <v>99.695450674930214</v>
      </c>
      <c r="P89" s="771">
        <f t="shared" si="105"/>
        <v>5813.3235192185621</v>
      </c>
      <c r="Q89" s="519">
        <f t="shared" si="106"/>
        <v>7928.0368721510049</v>
      </c>
      <c r="R89" s="521">
        <f t="shared" si="107"/>
        <v>1632.4995989220338</v>
      </c>
      <c r="S89" s="518">
        <f t="shared" si="108"/>
        <v>99.695450674930214</v>
      </c>
      <c r="T89" s="519">
        <f t="shared" si="109"/>
        <v>5813.3235192185621</v>
      </c>
      <c r="U89" s="519">
        <f t="shared" si="110"/>
        <v>15473.555440966531</v>
      </c>
    </row>
    <row r="90" spans="1:43">
      <c r="A90" s="4">
        <f>'Input data'!A145</f>
        <v>2045</v>
      </c>
      <c r="B90" s="4"/>
      <c r="C90" s="769">
        <f>'4A SWD Case 1'!BN115</f>
        <v>368.69746412950616</v>
      </c>
      <c r="D90" s="3">
        <f>'4B Biological treatment '!T143</f>
        <v>0.9141985151249663</v>
      </c>
      <c r="E90" s="1157">
        <f>'4B Biological treatment '!U143</f>
        <v>41.138933180623482</v>
      </c>
      <c r="F90" s="1157">
        <f>'4B Biological treatment '!W143</f>
        <v>2.4683359908374092</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7742.6467467196289</v>
      </c>
      <c r="M90" s="772">
        <f t="shared" si="102"/>
        <v>19.198168817624293</v>
      </c>
      <c r="N90" s="771">
        <f t="shared" si="103"/>
        <v>1629.1017539526899</v>
      </c>
      <c r="O90" s="773">
        <f t="shared" si="104"/>
        <v>93.438067529346228</v>
      </c>
      <c r="P90" s="771">
        <f t="shared" si="105"/>
        <v>5890.5859696831139</v>
      </c>
      <c r="Q90" s="519">
        <f t="shared" si="106"/>
        <v>7742.6467467196289</v>
      </c>
      <c r="R90" s="521">
        <f t="shared" si="107"/>
        <v>1648.2999227703142</v>
      </c>
      <c r="S90" s="518">
        <f t="shared" si="108"/>
        <v>93.438067529346228</v>
      </c>
      <c r="T90" s="519">
        <f t="shared" si="109"/>
        <v>5890.5859696831139</v>
      </c>
      <c r="U90" s="519">
        <f t="shared" si="110"/>
        <v>15374.970706702405</v>
      </c>
    </row>
    <row r="91" spans="1:43">
      <c r="A91" s="4">
        <f>'Input data'!A146</f>
        <v>2046</v>
      </c>
      <c r="B91" s="4"/>
      <c r="C91" s="769">
        <f>'4A SWD Case 1'!BN116</f>
        <v>360.14680317228908</v>
      </c>
      <c r="D91" s="3">
        <f>'4B Biological treatment '!T144</f>
        <v>0.92394252541080701</v>
      </c>
      <c r="E91" s="1157">
        <f>'4B Biological treatment '!U144</f>
        <v>41.57741364348631</v>
      </c>
      <c r="F91" s="1157">
        <f>'4B Biological treatment '!W144</f>
        <v>2.4946448186091787</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7563.0828666180705</v>
      </c>
      <c r="M91" s="772">
        <f t="shared" si="102"/>
        <v>19.402793033626946</v>
      </c>
      <c r="N91" s="771">
        <f t="shared" si="103"/>
        <v>1646.465580282058</v>
      </c>
      <c r="O91" s="773">
        <f t="shared" si="104"/>
        <v>87.227232528263414</v>
      </c>
      <c r="P91" s="771">
        <f t="shared" si="105"/>
        <v>5962.0228726331479</v>
      </c>
      <c r="Q91" s="519">
        <f t="shared" si="106"/>
        <v>7563.0828666180705</v>
      </c>
      <c r="R91" s="521">
        <f t="shared" si="107"/>
        <v>1665.8683733156849</v>
      </c>
      <c r="S91" s="518">
        <f t="shared" si="108"/>
        <v>87.227232528263414</v>
      </c>
      <c r="T91" s="519">
        <f t="shared" si="109"/>
        <v>5962.0228726331479</v>
      </c>
      <c r="U91" s="519">
        <f t="shared" si="110"/>
        <v>15278.201345095165</v>
      </c>
    </row>
    <row r="92" spans="1:43">
      <c r="A92" s="4">
        <f>'Input data'!A147</f>
        <v>2047</v>
      </c>
      <c r="B92" s="4"/>
      <c r="C92" s="769">
        <f>'4A SWD Case 1'!BN117</f>
        <v>351.58637842739836</v>
      </c>
      <c r="D92" s="3">
        <f>'4B Biological treatment '!T145</f>
        <v>0.93093750708463008</v>
      </c>
      <c r="E92" s="1157">
        <f>'4B Biological treatment '!U145</f>
        <v>41.892187818808353</v>
      </c>
      <c r="F92" s="1157">
        <f>'4B Biological treatment '!W145</f>
        <v>2.5135312691285012</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7383.313946975366</v>
      </c>
      <c r="M92" s="772">
        <f t="shared" si="102"/>
        <v>19.549687648777233</v>
      </c>
      <c r="N92" s="771">
        <f t="shared" si="103"/>
        <v>1658.930637624811</v>
      </c>
      <c r="O92" s="773">
        <f t="shared" si="104"/>
        <v>81.033572020965295</v>
      </c>
      <c r="P92" s="771">
        <f t="shared" si="105"/>
        <v>6034.0356184153861</v>
      </c>
      <c r="Q92" s="519">
        <f t="shared" si="106"/>
        <v>7383.313946975366</v>
      </c>
      <c r="R92" s="521">
        <f t="shared" si="107"/>
        <v>1678.4803252735883</v>
      </c>
      <c r="S92" s="518">
        <f t="shared" si="108"/>
        <v>81.033572020965295</v>
      </c>
      <c r="T92" s="519">
        <f t="shared" si="109"/>
        <v>6034.0356184153861</v>
      </c>
      <c r="U92" s="519">
        <f t="shared" si="110"/>
        <v>15176.863462685305</v>
      </c>
    </row>
    <row r="93" spans="1:43">
      <c r="A93" s="4">
        <f>'Input data'!A148</f>
        <v>2048</v>
      </c>
      <c r="B93" s="4"/>
      <c r="C93" s="769">
        <f>'4A SWD Case 1'!BN118</f>
        <v>343.01533033866946</v>
      </c>
      <c r="D93" s="3">
        <f>'4B Biological treatment '!T146</f>
        <v>0.93818191817695706</v>
      </c>
      <c r="E93" s="1157">
        <f>'4B Biological treatment '!U146</f>
        <v>42.21818631796306</v>
      </c>
      <c r="F93" s="1157">
        <f>'4B Biological treatment '!W146</f>
        <v>2.5330911790777839</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7203.3219371120585</v>
      </c>
      <c r="M93" s="772">
        <f t="shared" si="102"/>
        <v>19.701820281716099</v>
      </c>
      <c r="N93" s="771">
        <f t="shared" si="103"/>
        <v>1671.8401781913371</v>
      </c>
      <c r="O93" s="773">
        <f t="shared" si="104"/>
        <v>80.926366254145591</v>
      </c>
      <c r="P93" s="771">
        <f t="shared" si="105"/>
        <v>6106.6282245986458</v>
      </c>
      <c r="Q93" s="519">
        <f t="shared" si="106"/>
        <v>7203.3219371120585</v>
      </c>
      <c r="R93" s="521">
        <f t="shared" si="107"/>
        <v>1691.5419984730534</v>
      </c>
      <c r="S93" s="518">
        <f t="shared" si="108"/>
        <v>80.926366254145591</v>
      </c>
      <c r="T93" s="519">
        <f t="shared" si="109"/>
        <v>6106.6282245986458</v>
      </c>
      <c r="U93" s="519">
        <f t="shared" si="110"/>
        <v>15082.418526437903</v>
      </c>
    </row>
    <row r="94" spans="1:43">
      <c r="A94" s="4">
        <f>'Input data'!A149</f>
        <v>2049</v>
      </c>
      <c r="B94" s="4"/>
      <c r="C94" s="769">
        <f>'4A SWD Case 1'!BN119</f>
        <v>334.72460444623249</v>
      </c>
      <c r="D94" s="3">
        <f>'4B Biological treatment '!T147</f>
        <v>0.9452129106513798</v>
      </c>
      <c r="E94" s="1157">
        <f>'4B Biological treatment '!U147</f>
        <v>42.534580979312082</v>
      </c>
      <c r="F94" s="1157">
        <f>'4B Biological treatment '!W147</f>
        <v>2.5520748587587252</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7029.2166933708822</v>
      </c>
      <c r="M94" s="772">
        <f t="shared" si="102"/>
        <v>19.849471123678974</v>
      </c>
      <c r="N94" s="771">
        <f t="shared" si="103"/>
        <v>1684.3694067807587</v>
      </c>
      <c r="O94" s="773">
        <f t="shared" si="104"/>
        <v>80.81998611074799</v>
      </c>
      <c r="P94" s="771">
        <f t="shared" si="105"/>
        <v>6179.8047347637312</v>
      </c>
      <c r="Q94" s="519">
        <f t="shared" si="106"/>
        <v>7029.2166933708822</v>
      </c>
      <c r="R94" s="521">
        <f t="shared" si="107"/>
        <v>1704.2188779044377</v>
      </c>
      <c r="S94" s="518">
        <f t="shared" si="108"/>
        <v>80.81998611074799</v>
      </c>
      <c r="T94" s="519">
        <f t="shared" si="109"/>
        <v>6179.8047347637312</v>
      </c>
      <c r="U94" s="519">
        <f t="shared" si="110"/>
        <v>14994.060292149799</v>
      </c>
    </row>
    <row r="95" spans="1:43">
      <c r="A95" s="4">
        <f>'Input data'!A150</f>
        <v>2050</v>
      </c>
      <c r="B95" s="4"/>
      <c r="C95" s="769">
        <f>'4A SWD Case 1'!BN120</f>
        <v>326.71070142159397</v>
      </c>
      <c r="D95" s="3">
        <f>'4B Biological treatment '!T148</f>
        <v>0.9522861659447085</v>
      </c>
      <c r="E95" s="1157">
        <f>'4B Biological treatment '!U148</f>
        <v>42.852877467511874</v>
      </c>
      <c r="F95" s="1157">
        <f>'4B Biological treatment '!W148</f>
        <v>2.5711726480507124</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6860.9247298534738</v>
      </c>
      <c r="M95" s="772">
        <f t="shared" si="102"/>
        <v>19.998009484838878</v>
      </c>
      <c r="N95" s="771">
        <f t="shared" si="103"/>
        <v>1696.9739477134704</v>
      </c>
      <c r="O95" s="773">
        <f t="shared" si="104"/>
        <v>80.714423453015158</v>
      </c>
      <c r="P95" s="771">
        <f t="shared" si="105"/>
        <v>6253.5692186643009</v>
      </c>
      <c r="Q95" s="471">
        <f t="shared" si="106"/>
        <v>6860.9247298534738</v>
      </c>
      <c r="R95" s="517">
        <f t="shared" si="107"/>
        <v>1716.9719571983092</v>
      </c>
      <c r="S95" s="514">
        <f t="shared" si="108"/>
        <v>80.714423453015158</v>
      </c>
      <c r="T95" s="471">
        <f t="shared" si="109"/>
        <v>6253.5692186643009</v>
      </c>
      <c r="U95" s="471">
        <f t="shared" si="110"/>
        <v>14912.180329169099</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7">
        <f>'4B Biological treatment '!U150</f>
        <v>20.384176057159792</v>
      </c>
      <c r="F97" s="1157">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0.42961291719025785</v>
      </c>
      <c r="E98" s="1157">
        <f>'4B Biological treatment '!U151</f>
        <v>24.145627780809107</v>
      </c>
      <c r="F98" s="1157">
        <f>'4B Biological treatment '!W151</f>
        <v>1.4487376668485463</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9.0218712609954146</v>
      </c>
      <c r="N98" s="771">
        <f t="shared" si="113"/>
        <v>956.16686012004061</v>
      </c>
      <c r="O98" s="773">
        <f t="shared" si="114"/>
        <v>307.81392004196488</v>
      </c>
      <c r="P98" s="771">
        <f t="shared" si="115"/>
        <v>3922.0560748079342</v>
      </c>
      <c r="Q98" s="519">
        <f t="shared" si="74"/>
        <v>16839.898969230198</v>
      </c>
      <c r="R98" s="521">
        <f t="shared" si="75"/>
        <v>965.18873138103606</v>
      </c>
      <c r="S98" s="518">
        <f t="shared" si="76"/>
        <v>307.81392004196488</v>
      </c>
      <c r="T98" s="519">
        <f t="shared" si="77"/>
        <v>3922.0560748079342</v>
      </c>
      <c r="U98" s="519">
        <f t="shared" si="78"/>
        <v>22034.957695461133</v>
      </c>
    </row>
    <row r="99" spans="1:21">
      <c r="A99" s="4">
        <f>'Input data'!A120</f>
        <v>2020</v>
      </c>
      <c r="B99" s="4"/>
      <c r="C99" s="769">
        <f>'4A SWD Case 2'!BG90</f>
        <v>782.04082261743906</v>
      </c>
      <c r="D99" s="3">
        <f>'4B Biological treatment '!T152</f>
        <v>0.50037535874216477</v>
      </c>
      <c r="E99" s="1157">
        <f>'4B Biological treatment '!U152</f>
        <v>26.210946490144082</v>
      </c>
      <c r="F99" s="1157">
        <f>'4B Biological treatment '!W152</f>
        <v>1.572656789408645</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16422.85727496622</v>
      </c>
      <c r="M99" s="772">
        <f t="shared" si="112"/>
        <v>10.507882533585461</v>
      </c>
      <c r="N99" s="771">
        <f t="shared" si="113"/>
        <v>1037.9534810097057</v>
      </c>
      <c r="O99" s="773">
        <f t="shared" si="114"/>
        <v>299.52410113774715</v>
      </c>
      <c r="P99" s="771">
        <f t="shared" si="115"/>
        <v>4069.6472808319609</v>
      </c>
      <c r="Q99" s="519">
        <f t="shared" si="74"/>
        <v>16422.85727496622</v>
      </c>
      <c r="R99" s="521">
        <f t="shared" si="75"/>
        <v>1048.4613635432911</v>
      </c>
      <c r="S99" s="518">
        <f t="shared" si="76"/>
        <v>299.52410113774715</v>
      </c>
      <c r="T99" s="519">
        <f t="shared" si="77"/>
        <v>4069.6472808319609</v>
      </c>
      <c r="U99" s="519">
        <f t="shared" si="78"/>
        <v>21840.490020479217</v>
      </c>
    </row>
    <row r="100" spans="1:21">
      <c r="A100" s="4">
        <f>'Input data'!A121</f>
        <v>2021</v>
      </c>
      <c r="B100" s="4"/>
      <c r="C100" s="769">
        <f>'4A SWD Case 2'!BG91</f>
        <v>760.94445165686489</v>
      </c>
      <c r="D100" s="3">
        <f>'4B Biological treatment '!T153</f>
        <v>0.65467889260970968</v>
      </c>
      <c r="E100" s="1157">
        <f>'4B Biological treatment '!U153</f>
        <v>31.792935516058598</v>
      </c>
      <c r="F100" s="1157">
        <f>'4B Biological treatment '!W153</f>
        <v>1.9075761309635162</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15979.833484794162</v>
      </c>
      <c r="M100" s="772">
        <f t="shared" si="112"/>
        <v>13.748256744803903</v>
      </c>
      <c r="N100" s="771">
        <f t="shared" si="113"/>
        <v>1259.0002464359206</v>
      </c>
      <c r="O100" s="773">
        <f t="shared" si="114"/>
        <v>275.36438549102087</v>
      </c>
      <c r="P100" s="771">
        <f t="shared" si="115"/>
        <v>4201.6401192926323</v>
      </c>
      <c r="Q100" s="519">
        <f t="shared" si="74"/>
        <v>15979.833484794162</v>
      </c>
      <c r="R100" s="521">
        <f t="shared" si="75"/>
        <v>1272.7485031807246</v>
      </c>
      <c r="S100" s="518">
        <f t="shared" si="76"/>
        <v>275.36438549102087</v>
      </c>
      <c r="T100" s="519">
        <f t="shared" si="77"/>
        <v>4201.6401192926323</v>
      </c>
      <c r="U100" s="519">
        <f t="shared" si="78"/>
        <v>21729.586492758543</v>
      </c>
    </row>
    <row r="101" spans="1:21">
      <c r="A101" s="4">
        <f>'Input data'!A122</f>
        <v>2022</v>
      </c>
      <c r="B101" s="4"/>
      <c r="C101" s="769">
        <f>'4A SWD Case 2'!BG92</f>
        <v>734.97626299832916</v>
      </c>
      <c r="D101" s="3">
        <f>'4B Biological treatment '!T154</f>
        <v>0.76667570291364262</v>
      </c>
      <c r="E101" s="1157">
        <f>'4B Biological treatment '!U154</f>
        <v>34.500406631113911</v>
      </c>
      <c r="F101" s="1157">
        <f>'4B Biological treatment '!W154</f>
        <v>2.0700243978668347</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15434.501522964913</v>
      </c>
      <c r="M101" s="772">
        <f t="shared" si="112"/>
        <v>16.100189761186495</v>
      </c>
      <c r="N101" s="771">
        <f t="shared" si="113"/>
        <v>1366.2161025921109</v>
      </c>
      <c r="O101" s="773">
        <f t="shared" si="114"/>
        <v>229.17353377197622</v>
      </c>
      <c r="P101" s="771">
        <f t="shared" si="115"/>
        <v>4336.1329960221574</v>
      </c>
      <c r="Q101" s="519">
        <f t="shared" si="74"/>
        <v>15434.501522964913</v>
      </c>
      <c r="R101" s="521">
        <f t="shared" si="75"/>
        <v>1382.3162923532975</v>
      </c>
      <c r="S101" s="518">
        <f t="shared" si="76"/>
        <v>229.17353377197622</v>
      </c>
      <c r="T101" s="519">
        <f t="shared" si="77"/>
        <v>4336.1329960221574</v>
      </c>
      <c r="U101" s="519">
        <f t="shared" si="78"/>
        <v>21382.124345112345</v>
      </c>
    </row>
    <row r="102" spans="1:21">
      <c r="A102" s="4">
        <f>'Input data'!A123</f>
        <v>2023</v>
      </c>
      <c r="B102" s="4"/>
      <c r="C102" s="769">
        <f>'4A SWD Case 2'!BG93</f>
        <v>707.38447455493747</v>
      </c>
      <c r="D102" s="3">
        <f>'4B Biological treatment '!T155</f>
        <v>0.77119520730778568</v>
      </c>
      <c r="E102" s="1157">
        <f>'4B Biological treatment '!U155</f>
        <v>34.703784328850347</v>
      </c>
      <c r="F102" s="1157">
        <f>'4B Biological treatment '!W155</f>
        <v>2.0822270597310211</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14855.073965653686</v>
      </c>
      <c r="M102" s="772">
        <f t="shared" si="112"/>
        <v>16.195099353463497</v>
      </c>
      <c r="N102" s="771">
        <f t="shared" si="113"/>
        <v>1374.2698594224739</v>
      </c>
      <c r="O102" s="773">
        <f t="shared" si="114"/>
        <v>217.34002107405581</v>
      </c>
      <c r="P102" s="771">
        <f t="shared" si="115"/>
        <v>4473.1659836582639</v>
      </c>
      <c r="Q102" s="519">
        <f t="shared" si="74"/>
        <v>14855.073965653686</v>
      </c>
      <c r="R102" s="521">
        <f t="shared" si="75"/>
        <v>1390.4649587759375</v>
      </c>
      <c r="S102" s="518">
        <f t="shared" si="76"/>
        <v>217.34002107405581</v>
      </c>
      <c r="T102" s="519">
        <f t="shared" si="77"/>
        <v>4473.1659836582639</v>
      </c>
      <c r="U102" s="519">
        <f t="shared" si="78"/>
        <v>20936.044929161944</v>
      </c>
    </row>
    <row r="103" spans="1:21">
      <c r="A103" s="4">
        <f>'Input data'!A124</f>
        <v>2024</v>
      </c>
      <c r="B103" s="4"/>
      <c r="C103" s="769">
        <f>'4A SWD Case 2'!BG94</f>
        <v>680.91669222470216</v>
      </c>
      <c r="D103" s="3">
        <f>'4B Biological treatment '!T156</f>
        <v>0.77631922450378565</v>
      </c>
      <c r="E103" s="1157">
        <f>'4B Biological treatment '!U156</f>
        <v>34.934365102670355</v>
      </c>
      <c r="F103" s="1157">
        <f>'4B Biological treatment '!W156</f>
        <v>2.0960619061602213</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14299.250536718746</v>
      </c>
      <c r="M103" s="772">
        <f t="shared" si="112"/>
        <v>16.302703714579497</v>
      </c>
      <c r="N103" s="771">
        <f t="shared" si="113"/>
        <v>1383.400858065746</v>
      </c>
      <c r="O103" s="773">
        <f t="shared" si="114"/>
        <v>205.3038143886219</v>
      </c>
      <c r="P103" s="771">
        <f t="shared" si="115"/>
        <v>4612.7797461997052</v>
      </c>
      <c r="Q103" s="519">
        <f t="shared" si="74"/>
        <v>14299.250536718746</v>
      </c>
      <c r="R103" s="521">
        <f t="shared" si="75"/>
        <v>1399.7035617803256</v>
      </c>
      <c r="S103" s="518">
        <f t="shared" si="76"/>
        <v>205.3038143886219</v>
      </c>
      <c r="T103" s="519">
        <f t="shared" si="77"/>
        <v>4612.7797461997052</v>
      </c>
      <c r="U103" s="519">
        <f t="shared" si="78"/>
        <v>20517.0376590874</v>
      </c>
    </row>
    <row r="104" spans="1:21">
      <c r="A104" s="4">
        <f>'Input data'!A125</f>
        <v>2025</v>
      </c>
      <c r="B104" s="4"/>
      <c r="C104" s="769">
        <f>'4A SWD Case 2'!BG95</f>
        <v>655.49202267803923</v>
      </c>
      <c r="D104" s="3">
        <f>'4B Biological treatment '!T157</f>
        <v>0.78121125108359524</v>
      </c>
      <c r="E104" s="1157">
        <f>'4B Biological treatment '!U157</f>
        <v>35.154506298761781</v>
      </c>
      <c r="F104" s="1157">
        <f>'4B Biological treatment '!W157</f>
        <v>2.1092703779257072</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13765.332476238824</v>
      </c>
      <c r="M104" s="772">
        <f t="shared" si="112"/>
        <v>16.405436272755502</v>
      </c>
      <c r="N104" s="771">
        <f t="shared" si="113"/>
        <v>1392.1184494309666</v>
      </c>
      <c r="O104" s="773">
        <f t="shared" si="114"/>
        <v>193.05753067442905</v>
      </c>
      <c r="P104" s="771">
        <f t="shared" si="115"/>
        <v>4755.015547311632</v>
      </c>
      <c r="Q104" s="519">
        <f t="shared" si="74"/>
        <v>13765.332476238824</v>
      </c>
      <c r="R104" s="521">
        <f t="shared" si="75"/>
        <v>1408.523885703722</v>
      </c>
      <c r="S104" s="518">
        <f t="shared" si="76"/>
        <v>193.05753067442905</v>
      </c>
      <c r="T104" s="519">
        <f t="shared" si="77"/>
        <v>4755.015547311632</v>
      </c>
      <c r="U104" s="519">
        <f t="shared" si="78"/>
        <v>20121.929439928608</v>
      </c>
    </row>
    <row r="105" spans="1:21">
      <c r="A105" s="4">
        <f>'Input data'!A126</f>
        <v>2026</v>
      </c>
      <c r="B105" s="4"/>
      <c r="C105" s="769">
        <f>'4A SWD Case 2'!BG96</f>
        <v>631.03304384108696</v>
      </c>
      <c r="D105" s="3">
        <f>'4B Biological treatment '!T158</f>
        <v>0.78563600657323596</v>
      </c>
      <c r="E105" s="1157">
        <f>'4B Biological treatment '!U158</f>
        <v>35.353620295795615</v>
      </c>
      <c r="F105" s="1157">
        <f>'4B Biological treatment '!W158</f>
        <v>2.1212172177477369</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13251.693920662827</v>
      </c>
      <c r="M105" s="772">
        <f t="shared" si="112"/>
        <v>16.498356138037956</v>
      </c>
      <c r="N105" s="771">
        <f t="shared" si="113"/>
        <v>1400.0033637135064</v>
      </c>
      <c r="O105" s="773">
        <f t="shared" si="114"/>
        <v>180.70037146955198</v>
      </c>
      <c r="P105" s="771">
        <f t="shared" si="115"/>
        <v>4891.8365725125823</v>
      </c>
      <c r="Q105" s="519">
        <f t="shared" si="74"/>
        <v>13251.693920662827</v>
      </c>
      <c r="R105" s="521">
        <f t="shared" si="75"/>
        <v>1416.5017198515443</v>
      </c>
      <c r="S105" s="518">
        <f t="shared" si="76"/>
        <v>180.70037146955198</v>
      </c>
      <c r="T105" s="519">
        <f t="shared" si="77"/>
        <v>4891.8365725125823</v>
      </c>
      <c r="U105" s="519">
        <f t="shared" si="78"/>
        <v>19740.732584496505</v>
      </c>
    </row>
    <row r="106" spans="1:21">
      <c r="A106" s="4">
        <f>'Input data'!A127</f>
        <v>2027</v>
      </c>
      <c r="B106" s="4"/>
      <c r="C106" s="769">
        <f>'4A SWD Case 2'!BG97</f>
        <v>607.46182717331499</v>
      </c>
      <c r="D106" s="3">
        <f>'4B Biological treatment '!T159</f>
        <v>0.78991972285281786</v>
      </c>
      <c r="E106" s="1157">
        <f>'4B Biological treatment '!U159</f>
        <v>35.546387528376798</v>
      </c>
      <c r="F106" s="1157">
        <f>'4B Biological treatment '!W159</f>
        <v>2.132783251702608</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12756.698370639615</v>
      </c>
      <c r="M106" s="772">
        <f t="shared" si="112"/>
        <v>16.588314179909176</v>
      </c>
      <c r="N106" s="771">
        <f t="shared" si="113"/>
        <v>1407.6369461237214</v>
      </c>
      <c r="O106" s="773">
        <f t="shared" si="114"/>
        <v>168.10228643963038</v>
      </c>
      <c r="P106" s="771">
        <f t="shared" si="115"/>
        <v>5030.8909891052281</v>
      </c>
      <c r="Q106" s="519">
        <f t="shared" si="74"/>
        <v>12756.698370639615</v>
      </c>
      <c r="R106" s="521">
        <f t="shared" si="75"/>
        <v>1424.2252603036306</v>
      </c>
      <c r="S106" s="518">
        <f t="shared" si="76"/>
        <v>168.10228643963038</v>
      </c>
      <c r="T106" s="519">
        <f t="shared" si="77"/>
        <v>5030.8909891052281</v>
      </c>
      <c r="U106" s="519">
        <f t="shared" si="78"/>
        <v>19379.916906488106</v>
      </c>
    </row>
    <row r="107" spans="1:21">
      <c r="A107" s="4">
        <f>'Input data'!A128</f>
        <v>2028</v>
      </c>
      <c r="B107" s="4"/>
      <c r="C107" s="769">
        <f>'4A SWD Case 2'!BG98</f>
        <v>584.70785139629322</v>
      </c>
      <c r="D107" s="3">
        <f>'4B Biological treatment '!T160</f>
        <v>0.79398044089865216</v>
      </c>
      <c r="E107" s="1157">
        <f>'4B Biological treatment '!U160</f>
        <v>35.729119840439346</v>
      </c>
      <c r="F107" s="1157">
        <f>'4B Biological treatment '!W160</f>
        <v>2.1437471904263607</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12278.864879322158</v>
      </c>
      <c r="M107" s="772">
        <f t="shared" si="112"/>
        <v>16.673589258871694</v>
      </c>
      <c r="N107" s="771">
        <f t="shared" si="113"/>
        <v>1414.873145681398</v>
      </c>
      <c r="O107" s="773">
        <f t="shared" si="114"/>
        <v>155.25457728774188</v>
      </c>
      <c r="P107" s="771">
        <f t="shared" si="115"/>
        <v>5172.2095138882814</v>
      </c>
      <c r="Q107" s="519">
        <f t="shared" si="74"/>
        <v>12278.864879322158</v>
      </c>
      <c r="R107" s="521">
        <f t="shared" si="75"/>
        <v>1431.5467349402697</v>
      </c>
      <c r="S107" s="518">
        <f t="shared" si="76"/>
        <v>155.25457728774188</v>
      </c>
      <c r="T107" s="519">
        <f t="shared" si="77"/>
        <v>5172.2095138882814</v>
      </c>
      <c r="U107" s="519">
        <f t="shared" si="78"/>
        <v>19037.875705438451</v>
      </c>
    </row>
    <row r="108" spans="1:21">
      <c r="A108" s="4">
        <f>'Input data'!A129</f>
        <v>2029</v>
      </c>
      <c r="B108" s="4"/>
      <c r="C108" s="769">
        <f>'4A SWD Case 2'!BG99</f>
        <v>562.70353211242491</v>
      </c>
      <c r="D108" s="3">
        <f>'4B Biological treatment '!T161</f>
        <v>0.79903525250698149</v>
      </c>
      <c r="E108" s="1157">
        <f>'4B Biological treatment '!U161</f>
        <v>35.956586362814157</v>
      </c>
      <c r="F108" s="1157">
        <f>'4B Biological treatment '!W161</f>
        <v>2.1573951817688495</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11816.774174360922</v>
      </c>
      <c r="M108" s="772">
        <f t="shared" si="112"/>
        <v>16.779740302646612</v>
      </c>
      <c r="N108" s="771">
        <f t="shared" si="113"/>
        <v>1423.8808199674406</v>
      </c>
      <c r="O108" s="773">
        <f t="shared" si="114"/>
        <v>142.1481547216269</v>
      </c>
      <c r="P108" s="771">
        <f t="shared" si="115"/>
        <v>5315.8232520302154</v>
      </c>
      <c r="Q108" s="519">
        <f t="shared" si="74"/>
        <v>11816.774174360922</v>
      </c>
      <c r="R108" s="521">
        <f t="shared" si="75"/>
        <v>1440.6605602700872</v>
      </c>
      <c r="S108" s="518">
        <f t="shared" si="76"/>
        <v>142.1481547216269</v>
      </c>
      <c r="T108" s="519">
        <f t="shared" si="77"/>
        <v>5315.8232520302154</v>
      </c>
      <c r="U108" s="519">
        <f t="shared" si="78"/>
        <v>18715.406141382853</v>
      </c>
    </row>
    <row r="109" spans="1:21">
      <c r="A109" s="4">
        <f>'Input data'!A130</f>
        <v>2030</v>
      </c>
      <c r="B109" s="4"/>
      <c r="C109" s="769">
        <f>'4A SWD Case 2'!BG100</f>
        <v>541.38405999812608</v>
      </c>
      <c r="D109" s="3">
        <f>'4B Biological treatment '!T162</f>
        <v>0.80404035914521621</v>
      </c>
      <c r="E109" s="1157">
        <f>'4B Biological treatment '!U162</f>
        <v>36.181816161534726</v>
      </c>
      <c r="F109" s="1157">
        <f>'4B Biological treatment '!W162</f>
        <v>2.1709089696920838</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11369.065259960647</v>
      </c>
      <c r="M109" s="772">
        <f t="shared" si="112"/>
        <v>16.884847542049542</v>
      </c>
      <c r="N109" s="771">
        <f t="shared" si="113"/>
        <v>1432.7999199967753</v>
      </c>
      <c r="O109" s="773">
        <f t="shared" si="114"/>
        <v>128.77351562592733</v>
      </c>
      <c r="P109" s="771">
        <f t="shared" si="115"/>
        <v>5461.7637017393099</v>
      </c>
      <c r="Q109" s="519">
        <f t="shared" si="74"/>
        <v>11369.065259960647</v>
      </c>
      <c r="R109" s="521">
        <f t="shared" si="75"/>
        <v>1449.6847675388249</v>
      </c>
      <c r="S109" s="518">
        <f t="shared" si="76"/>
        <v>128.77351562592733</v>
      </c>
      <c r="T109" s="519">
        <f t="shared" si="77"/>
        <v>5461.7637017393099</v>
      </c>
      <c r="U109" s="519">
        <f t="shared" si="78"/>
        <v>18409.28724486471</v>
      </c>
    </row>
    <row r="110" spans="1:21">
      <c r="A110" s="4">
        <f>'Input data'!A131</f>
        <v>2031</v>
      </c>
      <c r="B110" s="4"/>
      <c r="C110" s="769">
        <f>'4A SWD Case 2'!BG101</f>
        <v>520.68724570379879</v>
      </c>
      <c r="D110" s="3">
        <f>'4B Biological treatment '!T163</f>
        <v>0.80950256380984476</v>
      </c>
      <c r="E110" s="1157">
        <f>'4B Biological treatment '!U163</f>
        <v>36.427615371443011</v>
      </c>
      <c r="F110" s="1157">
        <f>'4B Biological treatment '!W163</f>
        <v>2.1856569222865807</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10934.432159779775</v>
      </c>
      <c r="M110" s="772">
        <f t="shared" si="112"/>
        <v>16.99955384000674</v>
      </c>
      <c r="N110" s="771">
        <f t="shared" si="113"/>
        <v>1442.5335687091433</v>
      </c>
      <c r="O110" s="773">
        <f t="shared" si="114"/>
        <v>113.56951234567336</v>
      </c>
      <c r="P110" s="771">
        <f t="shared" si="115"/>
        <v>5508.3758769951792</v>
      </c>
      <c r="Q110" s="519">
        <f t="shared" si="74"/>
        <v>10934.432159779775</v>
      </c>
      <c r="R110" s="521">
        <f t="shared" si="75"/>
        <v>1459.53312254915</v>
      </c>
      <c r="S110" s="518">
        <f t="shared" si="76"/>
        <v>113.56951234567336</v>
      </c>
      <c r="T110" s="519">
        <f t="shared" si="77"/>
        <v>5508.3758769951792</v>
      </c>
      <c r="U110" s="519">
        <f t="shared" si="78"/>
        <v>18015.910671669779</v>
      </c>
    </row>
    <row r="111" spans="1:21">
      <c r="A111" s="4">
        <f>'Input data'!A132</f>
        <v>2032</v>
      </c>
      <c r="B111" s="4"/>
      <c r="C111" s="769">
        <f>'4A SWD Case 2'!BG102</f>
        <v>500.42822686517138</v>
      </c>
      <c r="D111" s="3">
        <f>'4B Biological treatment '!T164</f>
        <v>0.81592369679529431</v>
      </c>
      <c r="E111" s="1157">
        <f>'4B Biological treatment '!U164</f>
        <v>36.716566355788245</v>
      </c>
      <c r="F111" s="1157">
        <f>'4B Biological treatment '!W164</f>
        <v>2.2029939813472943</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10508.992764168599</v>
      </c>
      <c r="M111" s="772">
        <f t="shared" si="112"/>
        <v>17.13439763270118</v>
      </c>
      <c r="N111" s="771">
        <f t="shared" si="113"/>
        <v>1453.9760276892143</v>
      </c>
      <c r="O111" s="773">
        <f t="shared" si="114"/>
        <v>98.459981517794233</v>
      </c>
      <c r="P111" s="771">
        <f t="shared" si="115"/>
        <v>5555.3858532180511</v>
      </c>
      <c r="Q111" s="519">
        <f t="shared" si="74"/>
        <v>10508.992764168599</v>
      </c>
      <c r="R111" s="521">
        <f t="shared" si="75"/>
        <v>1471.1104253219155</v>
      </c>
      <c r="S111" s="518">
        <f t="shared" si="76"/>
        <v>98.459981517794233</v>
      </c>
      <c r="T111" s="519">
        <f t="shared" si="77"/>
        <v>5555.3858532180511</v>
      </c>
      <c r="U111" s="519">
        <f t="shared" si="78"/>
        <v>17633.949024226356</v>
      </c>
    </row>
    <row r="112" spans="1:21">
      <c r="A112" s="4">
        <f>'Input data'!A133</f>
        <v>2033</v>
      </c>
      <c r="B112" s="4"/>
      <c r="C112" s="769">
        <f>'4A SWD Case 2'!BG103</f>
        <v>480.58334812510867</v>
      </c>
      <c r="D112" s="3">
        <f>'4B Biological treatment '!T165</f>
        <v>0.82285459056188603</v>
      </c>
      <c r="E112" s="1157">
        <f>'4B Biological treatment '!U165</f>
        <v>37.028456575284864</v>
      </c>
      <c r="F112" s="1157">
        <f>'4B Biological treatment '!W165</f>
        <v>2.2217073945170922</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10092.250310627282</v>
      </c>
      <c r="M112" s="772">
        <f t="shared" si="112"/>
        <v>17.279946401799606</v>
      </c>
      <c r="N112" s="771">
        <f t="shared" si="113"/>
        <v>1466.3268803812807</v>
      </c>
      <c r="O112" s="773">
        <f t="shared" si="114"/>
        <v>98.168119205727166</v>
      </c>
      <c r="P112" s="771">
        <f t="shared" si="115"/>
        <v>5602.7970253494477</v>
      </c>
      <c r="Q112" s="519">
        <f t="shared" si="74"/>
        <v>10092.250310627282</v>
      </c>
      <c r="R112" s="521">
        <f t="shared" si="75"/>
        <v>1483.6068267830804</v>
      </c>
      <c r="S112" s="518">
        <f t="shared" si="76"/>
        <v>98.168119205727166</v>
      </c>
      <c r="T112" s="519">
        <f t="shared" si="77"/>
        <v>5602.7970253494477</v>
      </c>
      <c r="U112" s="519">
        <f t="shared" si="78"/>
        <v>17276.822281965535</v>
      </c>
    </row>
    <row r="113" spans="1:21">
      <c r="A113" s="4">
        <f>'Input data'!A134</f>
        <v>2034</v>
      </c>
      <c r="B113" s="4"/>
      <c r="C113" s="769">
        <f>'4A SWD Case 2'!BG104</f>
        <v>461.71789239887715</v>
      </c>
      <c r="D113" s="3">
        <f>'4B Biological treatment '!T166</f>
        <v>0.83094331513572506</v>
      </c>
      <c r="E113" s="1157">
        <f>'4B Biological treatment '!U166</f>
        <v>37.392449181107629</v>
      </c>
      <c r="F113" s="1157">
        <f>'4B Biological treatment '!W166</f>
        <v>2.2435469508664578</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9696.0757403764201</v>
      </c>
      <c r="M113" s="772">
        <f t="shared" si="112"/>
        <v>17.449809617850228</v>
      </c>
      <c r="N113" s="771">
        <f t="shared" si="113"/>
        <v>1480.7409875718622</v>
      </c>
      <c r="O113" s="773">
        <f t="shared" si="114"/>
        <v>97.880430060004471</v>
      </c>
      <c r="P113" s="771">
        <f t="shared" si="115"/>
        <v>5650.6128173042498</v>
      </c>
      <c r="Q113" s="519">
        <f t="shared" si="74"/>
        <v>9696.0757403764201</v>
      </c>
      <c r="R113" s="521">
        <f t="shared" si="75"/>
        <v>1498.1907971897124</v>
      </c>
      <c r="S113" s="518">
        <f t="shared" si="76"/>
        <v>97.880430060004471</v>
      </c>
      <c r="T113" s="519">
        <f t="shared" si="77"/>
        <v>5650.6128173042498</v>
      </c>
      <c r="U113" s="519">
        <f t="shared" si="78"/>
        <v>16942.759784930386</v>
      </c>
    </row>
    <row r="114" spans="1:21">
      <c r="A114" s="4">
        <f>'Input data'!A135</f>
        <v>2035</v>
      </c>
      <c r="B114" s="4"/>
      <c r="C114" s="769">
        <f>'4A SWD Case 2'!BG105</f>
        <v>443.78410687728183</v>
      </c>
      <c r="D114" s="3">
        <f>'4B Biological treatment '!T167</f>
        <v>0.83746647205563074</v>
      </c>
      <c r="E114" s="1157">
        <f>'4B Biological treatment '!U167</f>
        <v>37.685991242503377</v>
      </c>
      <c r="F114" s="1157">
        <f>'4B Biological treatment '!W167</f>
        <v>2.2611594745502028</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9319.466244422918</v>
      </c>
      <c r="M114" s="772">
        <f t="shared" si="112"/>
        <v>17.586795913168245</v>
      </c>
      <c r="N114" s="771">
        <f t="shared" si="113"/>
        <v>1492.3652532031338</v>
      </c>
      <c r="O114" s="773">
        <f t="shared" si="114"/>
        <v>97.596835379073497</v>
      </c>
      <c r="P114" s="771">
        <f t="shared" si="115"/>
        <v>5698.8366822179532</v>
      </c>
      <c r="Q114" s="519">
        <f t="shared" si="74"/>
        <v>9319.466244422918</v>
      </c>
      <c r="R114" s="521">
        <f t="shared" si="75"/>
        <v>1509.9520491163021</v>
      </c>
      <c r="S114" s="518">
        <f t="shared" si="76"/>
        <v>97.596835379073497</v>
      </c>
      <c r="T114" s="519">
        <f t="shared" si="77"/>
        <v>5698.8366822179532</v>
      </c>
      <c r="U114" s="519">
        <f t="shared" si="78"/>
        <v>16625.851811136246</v>
      </c>
    </row>
    <row r="115" spans="1:21">
      <c r="A115" s="4">
        <f>'Input data'!A136</f>
        <v>2036</v>
      </c>
      <c r="B115" s="4"/>
      <c r="C115" s="769">
        <f>'4A SWD Case 2'!BG106</f>
        <v>426.7365656755473</v>
      </c>
      <c r="D115" s="3">
        <f>'4B Biological treatment '!T168</f>
        <v>0.84378297956130932</v>
      </c>
      <c r="E115" s="1157">
        <f>'4B Biological treatment '!U168</f>
        <v>37.970234080258919</v>
      </c>
      <c r="F115" s="1157">
        <f>'4B Biological treatment '!W168</f>
        <v>2.278214044815535</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8961.4678791864935</v>
      </c>
      <c r="M115" s="772">
        <f t="shared" si="112"/>
        <v>17.719442570787496</v>
      </c>
      <c r="N115" s="771">
        <f t="shared" si="113"/>
        <v>1503.6212695782531</v>
      </c>
      <c r="O115" s="773">
        <f t="shared" si="114"/>
        <v>97.356613290882166</v>
      </c>
      <c r="P115" s="771">
        <f t="shared" si="115"/>
        <v>5740.5587570983689</v>
      </c>
      <c r="Q115" s="519">
        <f t="shared" si="74"/>
        <v>8961.4678791864935</v>
      </c>
      <c r="R115" s="521">
        <f t="shared" si="75"/>
        <v>1521.3407121490407</v>
      </c>
      <c r="S115" s="518">
        <f t="shared" si="76"/>
        <v>97.356613290882166</v>
      </c>
      <c r="T115" s="519">
        <f t="shared" si="77"/>
        <v>5740.5587570983689</v>
      </c>
      <c r="U115" s="519">
        <f t="shared" si="78"/>
        <v>16320.723961724783</v>
      </c>
    </row>
    <row r="116" spans="1:21">
      <c r="A116" s="4">
        <f>'Input data'!A137</f>
        <v>2037</v>
      </c>
      <c r="B116" s="4"/>
      <c r="C116" s="769">
        <f>'4A SWD Case 2'!BG107</f>
        <v>410.57657136511477</v>
      </c>
      <c r="D116" s="3">
        <f>'4B Biological treatment '!T169</f>
        <v>0.85084097894940547</v>
      </c>
      <c r="E116" s="1157">
        <f>'4B Biological treatment '!U169</f>
        <v>38.287844052723237</v>
      </c>
      <c r="F116" s="1157">
        <f>'4B Biological treatment '!W169</f>
        <v>2.2972706431633942</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8622.1079986674104</v>
      </c>
      <c r="M116" s="772">
        <f t="shared" si="112"/>
        <v>17.867660557937516</v>
      </c>
      <c r="N116" s="771">
        <f t="shared" si="113"/>
        <v>1516.1986244878403</v>
      </c>
      <c r="O116" s="773">
        <f t="shared" si="114"/>
        <v>97.11930396370947</v>
      </c>
      <c r="P116" s="771">
        <f t="shared" si="115"/>
        <v>5782.5862858160108</v>
      </c>
      <c r="Q116" s="519">
        <f t="shared" si="74"/>
        <v>8622.1079986674104</v>
      </c>
      <c r="R116" s="521">
        <f t="shared" si="75"/>
        <v>1534.0662850457779</v>
      </c>
      <c r="S116" s="518">
        <f t="shared" si="76"/>
        <v>97.11930396370947</v>
      </c>
      <c r="T116" s="519">
        <f t="shared" si="77"/>
        <v>5782.5862858160108</v>
      </c>
      <c r="U116" s="519">
        <f t="shared" si="78"/>
        <v>16035.879873492908</v>
      </c>
    </row>
    <row r="117" spans="1:21">
      <c r="A117" s="4">
        <f>'Input data'!A138</f>
        <v>2038</v>
      </c>
      <c r="B117" s="4"/>
      <c r="C117" s="769">
        <f>'4A SWD Case 2'!BG108</f>
        <v>395.92056536791347</v>
      </c>
      <c r="D117" s="3">
        <f>'4B Biological treatment '!T170</f>
        <v>0.85784666798126374</v>
      </c>
      <c r="E117" s="1157">
        <f>'4B Biological treatment '!U170</f>
        <v>38.603100059156858</v>
      </c>
      <c r="F117" s="1157">
        <f>'4B Biological treatment '!W170</f>
        <v>2.3161860035494115</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8314.3318727261831</v>
      </c>
      <c r="M117" s="772">
        <f t="shared" si="112"/>
        <v>18.014780027606538</v>
      </c>
      <c r="N117" s="771">
        <f t="shared" si="113"/>
        <v>1528.6827623426116</v>
      </c>
      <c r="O117" s="773">
        <f t="shared" si="114"/>
        <v>96.88486093946301</v>
      </c>
      <c r="P117" s="771">
        <f t="shared" si="115"/>
        <v>5824.9215046462123</v>
      </c>
      <c r="Q117" s="519">
        <f t="shared" si="74"/>
        <v>8314.3318727261831</v>
      </c>
      <c r="R117" s="521">
        <f t="shared" si="75"/>
        <v>1546.6975423702181</v>
      </c>
      <c r="S117" s="518">
        <f t="shared" si="76"/>
        <v>96.88486093946301</v>
      </c>
      <c r="T117" s="519">
        <f t="shared" si="77"/>
        <v>5824.9215046462123</v>
      </c>
      <c r="U117" s="519">
        <f t="shared" si="78"/>
        <v>15782.835780682077</v>
      </c>
    </row>
    <row r="118" spans="1:21">
      <c r="A118" s="4">
        <f>'Input data'!A139</f>
        <v>2039</v>
      </c>
      <c r="B118" s="4"/>
      <c r="C118" s="769">
        <f>'4A SWD Case 2'!BG109</f>
        <v>382.43842844349564</v>
      </c>
      <c r="D118" s="3">
        <f>'4B Biological treatment '!T171</f>
        <v>0.8652151689909412</v>
      </c>
      <c r="E118" s="1157">
        <f>'4B Biological treatment '!U171</f>
        <v>38.934682604592346</v>
      </c>
      <c r="F118" s="1157">
        <f>'4B Biological treatment '!W171</f>
        <v>2.3360809562755409</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8031.2069973134085</v>
      </c>
      <c r="M118" s="772">
        <f t="shared" si="112"/>
        <v>18.169518548809766</v>
      </c>
      <c r="N118" s="771">
        <f t="shared" si="113"/>
        <v>1541.8134311418571</v>
      </c>
      <c r="O118" s="773">
        <f t="shared" si="114"/>
        <v>96.653238724891821</v>
      </c>
      <c r="P118" s="771">
        <f t="shared" si="115"/>
        <v>5867.5666662364183</v>
      </c>
      <c r="Q118" s="519">
        <f t="shared" si="74"/>
        <v>8031.2069973134085</v>
      </c>
      <c r="R118" s="521">
        <f t="shared" si="75"/>
        <v>1559.9829496906668</v>
      </c>
      <c r="S118" s="518">
        <f t="shared" si="76"/>
        <v>96.653238724891821</v>
      </c>
      <c r="T118" s="519">
        <f t="shared" si="77"/>
        <v>5867.5666662364183</v>
      </c>
      <c r="U118" s="519">
        <f t="shared" si="78"/>
        <v>15555.409851965385</v>
      </c>
    </row>
    <row r="119" spans="1:21">
      <c r="A119" s="4">
        <f>'Input data'!A140</f>
        <v>2040</v>
      </c>
      <c r="B119" s="4"/>
      <c r="C119" s="769">
        <f>'4A SWD Case 2'!BG110</f>
        <v>370.07965170230568</v>
      </c>
      <c r="D119" s="3">
        <f>'4B Biological treatment '!T172</f>
        <v>0.8726769482306409</v>
      </c>
      <c r="E119" s="1157">
        <f>'4B Biological treatment '!U172</f>
        <v>39.270462670378834</v>
      </c>
      <c r="F119" s="1157">
        <f>'4B Biological treatment '!W172</f>
        <v>2.3562277602227302</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7771.6726857484191</v>
      </c>
      <c r="M119" s="772">
        <f t="shared" si="112"/>
        <v>18.326215912843459</v>
      </c>
      <c r="N119" s="771">
        <f t="shared" si="113"/>
        <v>1555.1103217470018</v>
      </c>
      <c r="O119" s="773">
        <f t="shared" si="114"/>
        <v>96.424392766634725</v>
      </c>
      <c r="P119" s="771">
        <f t="shared" si="115"/>
        <v>5910.5240397260632</v>
      </c>
      <c r="Q119" s="519">
        <f t="shared" si="74"/>
        <v>7771.6726857484191</v>
      </c>
      <c r="R119" s="521">
        <f t="shared" si="75"/>
        <v>1573.4365376598453</v>
      </c>
      <c r="S119" s="518">
        <f t="shared" si="76"/>
        <v>96.424392766634725</v>
      </c>
      <c r="T119" s="519">
        <f t="shared" si="77"/>
        <v>5910.5240397260632</v>
      </c>
      <c r="U119" s="519">
        <f t="shared" si="78"/>
        <v>15352.057655900961</v>
      </c>
    </row>
    <row r="120" spans="1:21">
      <c r="A120" s="4">
        <f>'Input data'!A141</f>
        <v>2041</v>
      </c>
      <c r="B120" s="4"/>
      <c r="C120" s="769">
        <f>'4A SWD Case 2'!BG111</f>
        <v>358.79558256068293</v>
      </c>
      <c r="D120" s="3">
        <f>'4B Biological treatment '!T173</f>
        <v>0.88088565226415672</v>
      </c>
      <c r="E120" s="1157">
        <f>'4B Biological treatment '!U173</f>
        <v>39.639854351887045</v>
      </c>
      <c r="F120" s="1157">
        <f>'4B Biological treatment '!W173</f>
        <v>2.3783912611132227</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7534.7072337743411</v>
      </c>
      <c r="M120" s="772">
        <f t="shared" si="112"/>
        <v>18.49859869754729</v>
      </c>
      <c r="N120" s="771">
        <f t="shared" si="113"/>
        <v>1569.7382323347269</v>
      </c>
      <c r="O120" s="773">
        <f t="shared" si="114"/>
        <v>96.232289152450377</v>
      </c>
      <c r="P120" s="771">
        <f t="shared" si="115"/>
        <v>5947.2338879558556</v>
      </c>
      <c r="Q120" s="519">
        <f t="shared" si="74"/>
        <v>7534.7072337743411</v>
      </c>
      <c r="R120" s="521">
        <f t="shared" si="75"/>
        <v>1588.2368310322743</v>
      </c>
      <c r="S120" s="518">
        <f t="shared" si="76"/>
        <v>96.232289152450377</v>
      </c>
      <c r="T120" s="519">
        <f t="shared" si="77"/>
        <v>5947.2338879558556</v>
      </c>
      <c r="U120" s="519">
        <f t="shared" si="78"/>
        <v>15166.410241914922</v>
      </c>
    </row>
    <row r="121" spans="1:21">
      <c r="A121" s="4">
        <f>'Input data'!A142</f>
        <v>2042</v>
      </c>
      <c r="B121" s="4"/>
      <c r="C121" s="769">
        <f>'4A SWD Case 2'!BG112</f>
        <v>348.32347661850514</v>
      </c>
      <c r="D121" s="3">
        <f>'4B Biological treatment '!T174</f>
        <v>0.88885701624084912</v>
      </c>
      <c r="E121" s="1157">
        <f>'4B Biological treatment '!U174</f>
        <v>39.998565730838202</v>
      </c>
      <c r="F121" s="1157">
        <f>'4B Biological treatment '!W174</f>
        <v>2.3999139438502919</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7314.7930089886077</v>
      </c>
      <c r="M121" s="772">
        <f t="shared" si="112"/>
        <v>18.665997341057832</v>
      </c>
      <c r="N121" s="771">
        <f t="shared" si="113"/>
        <v>1583.9432029411928</v>
      </c>
      <c r="O121" s="773">
        <f t="shared" si="114"/>
        <v>96.042128189602451</v>
      </c>
      <c r="P121" s="771">
        <f t="shared" si="115"/>
        <v>5984.171738465644</v>
      </c>
      <c r="Q121" s="519">
        <f t="shared" si="74"/>
        <v>7314.7930089886077</v>
      </c>
      <c r="R121" s="521">
        <f t="shared" si="75"/>
        <v>1602.6092002822506</v>
      </c>
      <c r="S121" s="518">
        <f t="shared" si="76"/>
        <v>96.042128189602451</v>
      </c>
      <c r="T121" s="519">
        <f t="shared" si="77"/>
        <v>5984.171738465644</v>
      </c>
      <c r="U121" s="519">
        <f t="shared" si="78"/>
        <v>14997.616075926106</v>
      </c>
    </row>
    <row r="122" spans="1:21">
      <c r="A122" s="4">
        <f>'Input data'!A143</f>
        <v>2043</v>
      </c>
      <c r="B122" s="4"/>
      <c r="C122" s="769">
        <f>'4A SWD Case 2'!BG113</f>
        <v>338.62575269183196</v>
      </c>
      <c r="D122" s="3">
        <f>'4B Biological treatment '!T175</f>
        <v>0.89700320759428354</v>
      </c>
      <c r="E122" s="1157">
        <f>'4B Biological treatment '!U175</f>
        <v>40.365144341742763</v>
      </c>
      <c r="F122" s="1157">
        <f>'4B Biological treatment '!W175</f>
        <v>2.4219086605045654</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7111.1408065284713</v>
      </c>
      <c r="M122" s="772">
        <f t="shared" si="112"/>
        <v>18.837067359479953</v>
      </c>
      <c r="N122" s="771">
        <f t="shared" si="113"/>
        <v>1598.4597159330133</v>
      </c>
      <c r="O122" s="773">
        <f t="shared" si="114"/>
        <v>95.853884148944275</v>
      </c>
      <c r="P122" s="771">
        <f t="shared" si="115"/>
        <v>6021.3390073615255</v>
      </c>
      <c r="Q122" s="519">
        <f t="shared" si="74"/>
        <v>7111.1408065284713</v>
      </c>
      <c r="R122" s="521">
        <f t="shared" si="75"/>
        <v>1617.2967832924933</v>
      </c>
      <c r="S122" s="518">
        <f t="shared" si="76"/>
        <v>95.853884148944275</v>
      </c>
      <c r="T122" s="519">
        <f t="shared" si="77"/>
        <v>6021.3390073615255</v>
      </c>
      <c r="U122" s="519">
        <f t="shared" si="78"/>
        <v>14845.630481331435</v>
      </c>
    </row>
    <row r="123" spans="1:21">
      <c r="A123" s="4">
        <f>'Input data'!A144</f>
        <v>2044</v>
      </c>
      <c r="B123" s="4"/>
      <c r="C123" s="769">
        <f>'4A SWD Case 2'!BG114</f>
        <v>329.66734135305683</v>
      </c>
      <c r="D123" s="3">
        <f>'4B Biological treatment '!T176</f>
        <v>0.90543516301832161</v>
      </c>
      <c r="E123" s="1157">
        <f>'4B Biological treatment '!U176</f>
        <v>40.744582335824468</v>
      </c>
      <c r="F123" s="1157">
        <f>'4B Biological treatment '!W176</f>
        <v>2.4446749401494681</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6923.0141684141936</v>
      </c>
      <c r="M123" s="772">
        <f t="shared" si="112"/>
        <v>19.014138423384754</v>
      </c>
      <c r="N123" s="771">
        <f t="shared" si="113"/>
        <v>1613.485460498649</v>
      </c>
      <c r="O123" s="773">
        <f t="shared" si="114"/>
        <v>95.667531744697669</v>
      </c>
      <c r="P123" s="771">
        <f t="shared" si="115"/>
        <v>6058.7371195449232</v>
      </c>
      <c r="Q123" s="519">
        <f t="shared" si="74"/>
        <v>6923.0141684141936</v>
      </c>
      <c r="R123" s="521">
        <f t="shared" si="75"/>
        <v>1632.4995989220338</v>
      </c>
      <c r="S123" s="518">
        <f t="shared" si="76"/>
        <v>95.667531744697669</v>
      </c>
      <c r="T123" s="519">
        <f t="shared" si="77"/>
        <v>6058.7371195449232</v>
      </c>
      <c r="U123" s="519">
        <f t="shared" si="78"/>
        <v>14709.918418625848</v>
      </c>
    </row>
    <row r="124" spans="1:21">
      <c r="A124" s="4">
        <f>'Input data'!A145</f>
        <v>2045</v>
      </c>
      <c r="B124" s="4"/>
      <c r="C124" s="769">
        <f>'4A SWD Case 2'!BG115</f>
        <v>321.4150072338731</v>
      </c>
      <c r="D124" s="3">
        <f>'4B Biological treatment '!T177</f>
        <v>0.9141985151249663</v>
      </c>
      <c r="E124" s="1157">
        <f>'4B Biological treatment '!U177</f>
        <v>41.138933180623482</v>
      </c>
      <c r="F124" s="1157">
        <f>'4B Biological treatment '!W177</f>
        <v>2.4683359908374092</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6749.7151519113349</v>
      </c>
      <c r="M124" s="772">
        <f t="shared" si="112"/>
        <v>19.198168817624293</v>
      </c>
      <c r="N124" s="771">
        <f t="shared" si="113"/>
        <v>1629.1017539526899</v>
      </c>
      <c r="O124" s="773">
        <f t="shared" si="114"/>
        <v>95.48304612493115</v>
      </c>
      <c r="P124" s="771">
        <f t="shared" si="115"/>
        <v>6096.3675087672291</v>
      </c>
      <c r="Q124" s="519">
        <f t="shared" si="74"/>
        <v>6749.7151519113349</v>
      </c>
      <c r="R124" s="521">
        <f t="shared" si="75"/>
        <v>1648.2999227703142</v>
      </c>
      <c r="S124" s="518">
        <f t="shared" si="76"/>
        <v>95.48304612493115</v>
      </c>
      <c r="T124" s="519">
        <f t="shared" si="77"/>
        <v>6096.3675087672291</v>
      </c>
      <c r="U124" s="519">
        <f t="shared" si="78"/>
        <v>14589.865629573809</v>
      </c>
    </row>
    <row r="125" spans="1:21">
      <c r="A125" s="4">
        <f>'Input data'!A146</f>
        <v>2046</v>
      </c>
      <c r="B125" s="4"/>
      <c r="C125" s="769">
        <f>'4A SWD Case 2'!BG116</f>
        <v>313.83713241993667</v>
      </c>
      <c r="D125" s="3">
        <f>'4B Biological treatment '!T178</f>
        <v>0.92394252541080701</v>
      </c>
      <c r="E125" s="1157">
        <f>'4B Biological treatment '!U178</f>
        <v>41.57741364348631</v>
      </c>
      <c r="F125" s="1157">
        <f>'4B Biological treatment '!W178</f>
        <v>2.4946448186091787</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6590.5797808186699</v>
      </c>
      <c r="M125" s="772">
        <f t="shared" si="112"/>
        <v>19.402793033626946</v>
      </c>
      <c r="N125" s="771">
        <f t="shared" si="113"/>
        <v>1646.465580282058</v>
      </c>
      <c r="O125" s="773">
        <f t="shared" si="114"/>
        <v>95.332713212379986</v>
      </c>
      <c r="P125" s="771">
        <f t="shared" si="115"/>
        <v>6127.4884893628396</v>
      </c>
      <c r="Q125" s="519">
        <f t="shared" si="74"/>
        <v>6590.5797808186699</v>
      </c>
      <c r="R125" s="521">
        <f t="shared" si="75"/>
        <v>1665.8683733156849</v>
      </c>
      <c r="S125" s="518">
        <f t="shared" si="76"/>
        <v>95.332713212379986</v>
      </c>
      <c r="T125" s="519">
        <f t="shared" si="77"/>
        <v>6127.4884893628396</v>
      </c>
      <c r="U125" s="519">
        <f t="shared" si="78"/>
        <v>14479.269356709574</v>
      </c>
    </row>
    <row r="126" spans="1:21">
      <c r="A126" s="4">
        <f>'Input data'!A147</f>
        <v>2047</v>
      </c>
      <c r="B126" s="4"/>
      <c r="C126" s="769">
        <f>'4A SWD Case 2'!BG117</f>
        <v>306.68976120351226</v>
      </c>
      <c r="D126" s="3">
        <f>'4B Biological treatment '!T179</f>
        <v>0.93093750708463008</v>
      </c>
      <c r="E126" s="1157">
        <f>'4B Biological treatment '!U179</f>
        <v>41.892187818808353</v>
      </c>
      <c r="F126" s="1157">
        <f>'4B Biological treatment '!W179</f>
        <v>2.5135312691285012</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6440.484985273757</v>
      </c>
      <c r="M126" s="772">
        <f t="shared" si="112"/>
        <v>19.549687648777233</v>
      </c>
      <c r="N126" s="771">
        <f t="shared" si="113"/>
        <v>1658.930637624811</v>
      </c>
      <c r="O126" s="773">
        <f t="shared" si="114"/>
        <v>95.183612874715863</v>
      </c>
      <c r="P126" s="771">
        <f t="shared" si="115"/>
        <v>6158.7683375844354</v>
      </c>
      <c r="Q126" s="519">
        <f t="shared" ref="Q126:Q129" si="116">L126</f>
        <v>6440.484985273757</v>
      </c>
      <c r="R126" s="521">
        <f t="shared" ref="R126:R129" si="117">M126+N126</f>
        <v>1678.4803252735883</v>
      </c>
      <c r="S126" s="518">
        <f t="shared" ref="S126:S129" si="118">O126</f>
        <v>95.183612874715863</v>
      </c>
      <c r="T126" s="519">
        <f t="shared" ref="T126:T129" si="119">P126</f>
        <v>6158.7683375844354</v>
      </c>
      <c r="U126" s="519">
        <f t="shared" ref="U126:U129" si="120">SUM(Q126:T126)</f>
        <v>14372.917261006496</v>
      </c>
    </row>
    <row r="127" spans="1:21">
      <c r="A127" s="4">
        <f>'Input data'!A148</f>
        <v>2048</v>
      </c>
      <c r="B127" s="4"/>
      <c r="C127" s="769">
        <f>'4A SWD Case 2'!BG118</f>
        <v>299.94511183352768</v>
      </c>
      <c r="D127" s="3">
        <f>'4B Biological treatment '!T180</f>
        <v>0.93818191817695706</v>
      </c>
      <c r="E127" s="1157">
        <f>'4B Biological treatment '!U180</f>
        <v>42.21818631796306</v>
      </c>
      <c r="F127" s="1157">
        <f>'4B Biological treatment '!W180</f>
        <v>2.5330911790777839</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6298.8473485040813</v>
      </c>
      <c r="M127" s="772">
        <f t="shared" si="112"/>
        <v>19.701820281716099</v>
      </c>
      <c r="N127" s="771">
        <f t="shared" si="113"/>
        <v>1671.8401781913371</v>
      </c>
      <c r="O127" s="773">
        <f t="shared" si="114"/>
        <v>95.035731924294083</v>
      </c>
      <c r="P127" s="771">
        <f t="shared" si="115"/>
        <v>6190.2078644258199</v>
      </c>
      <c r="Q127" s="519">
        <f t="shared" si="116"/>
        <v>6298.8473485040813</v>
      </c>
      <c r="R127" s="521">
        <f t="shared" si="117"/>
        <v>1691.5419984730534</v>
      </c>
      <c r="S127" s="518">
        <f t="shared" si="118"/>
        <v>95.035731924294083</v>
      </c>
      <c r="T127" s="519">
        <f t="shared" si="119"/>
        <v>6190.2078644258199</v>
      </c>
      <c r="U127" s="519">
        <f t="shared" si="120"/>
        <v>14275.632943327248</v>
      </c>
    </row>
    <row r="128" spans="1:21">
      <c r="A128" s="4">
        <f>'Input data'!A149</f>
        <v>2049</v>
      </c>
      <c r="B128" s="4"/>
      <c r="C128" s="769">
        <f>'4A SWD Case 2'!BG119</f>
        <v>293.58377621036448</v>
      </c>
      <c r="D128" s="3">
        <f>'4B Biological treatment '!T181</f>
        <v>0.9452129106513798</v>
      </c>
      <c r="E128" s="1157">
        <f>'4B Biological treatment '!U181</f>
        <v>42.534580979312082</v>
      </c>
      <c r="F128" s="1157">
        <f>'4B Biological treatment '!W181</f>
        <v>2.5520748587587252</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6165.2593004176542</v>
      </c>
      <c r="M128" s="772">
        <f t="shared" si="112"/>
        <v>19.849471123678974</v>
      </c>
      <c r="N128" s="771">
        <f t="shared" si="113"/>
        <v>1684.3694067807587</v>
      </c>
      <c r="O128" s="773">
        <f t="shared" si="114"/>
        <v>94.889057356937755</v>
      </c>
      <c r="P128" s="771">
        <f t="shared" si="115"/>
        <v>6221.8078850207985</v>
      </c>
      <c r="Q128" s="519">
        <f t="shared" si="116"/>
        <v>6165.2593004176542</v>
      </c>
      <c r="R128" s="521">
        <f t="shared" si="117"/>
        <v>1704.2188779044377</v>
      </c>
      <c r="S128" s="518">
        <f t="shared" si="118"/>
        <v>94.889057356937755</v>
      </c>
      <c r="T128" s="519">
        <f t="shared" si="119"/>
        <v>6221.8078850207985</v>
      </c>
      <c r="U128" s="519">
        <f t="shared" si="120"/>
        <v>14186.175120699827</v>
      </c>
    </row>
    <row r="129" spans="1:21">
      <c r="A129" s="4">
        <f>'Input data'!A150</f>
        <v>2050</v>
      </c>
      <c r="B129" s="4"/>
      <c r="C129" s="769">
        <f>'4A SWD Case 2'!BG120</f>
        <v>287.58630804970937</v>
      </c>
      <c r="D129" s="3">
        <f>'4B Biological treatment '!T182</f>
        <v>0.9522861659447085</v>
      </c>
      <c r="E129" s="1157">
        <f>'4B Biological treatment '!U182</f>
        <v>42.852877467511874</v>
      </c>
      <c r="F129" s="1157">
        <f>'4B Biological treatment '!W182</f>
        <v>2.5711726480507124</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6039.3124690438972</v>
      </c>
      <c r="M129" s="772">
        <f t="shared" si="112"/>
        <v>19.998009484838878</v>
      </c>
      <c r="N129" s="771">
        <f t="shared" si="113"/>
        <v>1696.9739477134704</v>
      </c>
      <c r="O129" s="773">
        <f t="shared" si="114"/>
        <v>94.743576348754203</v>
      </c>
      <c r="P129" s="771">
        <f t="shared" si="115"/>
        <v>6253.5692186643009</v>
      </c>
      <c r="Q129" s="471">
        <f t="shared" si="116"/>
        <v>6039.3124690438972</v>
      </c>
      <c r="R129" s="517">
        <f t="shared" si="117"/>
        <v>1716.9719571983092</v>
      </c>
      <c r="S129" s="514">
        <f t="shared" si="118"/>
        <v>94.743576348754203</v>
      </c>
      <c r="T129" s="471">
        <f t="shared" si="119"/>
        <v>6253.5692186643009</v>
      </c>
      <c r="U129" s="471">
        <f t="shared" si="120"/>
        <v>14104.597221255261</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7">
        <f>'4B Biological treatment '!U184</f>
        <v>20.384176057159792</v>
      </c>
      <c r="F131" s="1157">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0.42961291719025785</v>
      </c>
      <c r="E132" s="1157">
        <f>'4B Biological treatment '!U185</f>
        <v>24.145627780809107</v>
      </c>
      <c r="F132" s="1157">
        <f>'4B Biological treatment '!W185</f>
        <v>1.4487376668485463</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9.0218712609954146</v>
      </c>
      <c r="N132" s="771">
        <f t="shared" si="123"/>
        <v>956.16686012004061</v>
      </c>
      <c r="O132" s="773">
        <f t="shared" si="124"/>
        <v>307.81392004196488</v>
      </c>
      <c r="P132" s="771">
        <f t="shared" si="125"/>
        <v>3922.0560748079342</v>
      </c>
      <c r="Q132" s="519">
        <f t="shared" si="126"/>
        <v>16839.898969230198</v>
      </c>
      <c r="R132" s="521">
        <f t="shared" si="127"/>
        <v>965.18873138103606</v>
      </c>
      <c r="S132" s="518">
        <f t="shared" si="128"/>
        <v>307.81392004196488</v>
      </c>
      <c r="T132" s="519">
        <f t="shared" si="129"/>
        <v>3922.0560748079342</v>
      </c>
      <c r="U132" s="519">
        <f t="shared" si="130"/>
        <v>22034.957695461133</v>
      </c>
    </row>
    <row r="133" spans="1:21">
      <c r="A133" s="4">
        <f>'Input data'!A120</f>
        <v>2020</v>
      </c>
      <c r="B133" s="4"/>
      <c r="C133" s="769">
        <f>'4A SWD Case 2'!BN90</f>
        <v>782.04082261743906</v>
      </c>
      <c r="D133" s="3">
        <f>'4B Biological treatment '!T186</f>
        <v>0.50037535874216477</v>
      </c>
      <c r="E133" s="1157">
        <f>'4B Biological treatment '!U186</f>
        <v>26.210946490144082</v>
      </c>
      <c r="F133" s="1157">
        <f>'4B Biological treatment '!W186</f>
        <v>1.572656789408645</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16422.85727496622</v>
      </c>
      <c r="M133" s="772">
        <f t="shared" si="122"/>
        <v>10.507882533585461</v>
      </c>
      <c r="N133" s="771">
        <f t="shared" si="123"/>
        <v>1037.9534810097057</v>
      </c>
      <c r="O133" s="773">
        <f t="shared" si="124"/>
        <v>299.52410113774715</v>
      </c>
      <c r="P133" s="771">
        <f t="shared" si="125"/>
        <v>4069.6472808319609</v>
      </c>
      <c r="Q133" s="519">
        <f t="shared" si="126"/>
        <v>16422.85727496622</v>
      </c>
      <c r="R133" s="521">
        <f t="shared" si="127"/>
        <v>1048.4613635432911</v>
      </c>
      <c r="S133" s="518">
        <f t="shared" si="128"/>
        <v>299.52410113774715</v>
      </c>
      <c r="T133" s="519">
        <f t="shared" si="129"/>
        <v>4069.6472808319609</v>
      </c>
      <c r="U133" s="519">
        <f t="shared" si="130"/>
        <v>21840.490020479217</v>
      </c>
    </row>
    <row r="134" spans="1:21">
      <c r="A134" s="4">
        <f>'Input data'!A121</f>
        <v>2021</v>
      </c>
      <c r="B134" s="4"/>
      <c r="C134" s="769">
        <f>'4A SWD Case 2'!BN91</f>
        <v>760.94445165686489</v>
      </c>
      <c r="D134" s="3">
        <f>'4B Biological treatment '!T187</f>
        <v>0.65467889260970968</v>
      </c>
      <c r="E134" s="1157">
        <f>'4B Biological treatment '!U187</f>
        <v>31.792935516058598</v>
      </c>
      <c r="F134" s="1157">
        <f>'4B Biological treatment '!W187</f>
        <v>1.9075761309635162</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15979.833484794162</v>
      </c>
      <c r="M134" s="772">
        <f t="shared" si="122"/>
        <v>13.748256744803903</v>
      </c>
      <c r="N134" s="771">
        <f t="shared" si="123"/>
        <v>1259.0002464359206</v>
      </c>
      <c r="O134" s="773">
        <f t="shared" si="124"/>
        <v>275.36438549102087</v>
      </c>
      <c r="P134" s="771">
        <f t="shared" si="125"/>
        <v>4201.6401192926323</v>
      </c>
      <c r="Q134" s="519">
        <f t="shared" si="126"/>
        <v>15979.833484794162</v>
      </c>
      <c r="R134" s="521">
        <f t="shared" si="127"/>
        <v>1272.7485031807246</v>
      </c>
      <c r="S134" s="518">
        <f t="shared" si="128"/>
        <v>275.36438549102087</v>
      </c>
      <c r="T134" s="519">
        <f t="shared" si="129"/>
        <v>4201.6401192926323</v>
      </c>
      <c r="U134" s="519">
        <f t="shared" si="130"/>
        <v>21729.586492758543</v>
      </c>
    </row>
    <row r="135" spans="1:21">
      <c r="A135" s="4">
        <f>'Input data'!A122</f>
        <v>2022</v>
      </c>
      <c r="B135" s="4"/>
      <c r="C135" s="769">
        <f>'4A SWD Case 2'!BN92</f>
        <v>734.97626299832916</v>
      </c>
      <c r="D135" s="3">
        <f>'4B Biological treatment '!T188</f>
        <v>0.76667570291364262</v>
      </c>
      <c r="E135" s="1157">
        <f>'4B Biological treatment '!U188</f>
        <v>34.500406631113911</v>
      </c>
      <c r="F135" s="1157">
        <f>'4B Biological treatment '!W188</f>
        <v>2.0700243978668347</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15434.501522964913</v>
      </c>
      <c r="M135" s="772">
        <f t="shared" si="122"/>
        <v>16.100189761186495</v>
      </c>
      <c r="N135" s="771">
        <f t="shared" si="123"/>
        <v>1366.2161025921109</v>
      </c>
      <c r="O135" s="773">
        <f t="shared" si="124"/>
        <v>229.17353377197622</v>
      </c>
      <c r="P135" s="771">
        <f t="shared" si="125"/>
        <v>4336.1329960221574</v>
      </c>
      <c r="Q135" s="519">
        <f t="shared" si="126"/>
        <v>15434.501522964913</v>
      </c>
      <c r="R135" s="521">
        <f t="shared" si="127"/>
        <v>1382.3162923532975</v>
      </c>
      <c r="S135" s="518">
        <f t="shared" si="128"/>
        <v>229.17353377197622</v>
      </c>
      <c r="T135" s="519">
        <f t="shared" si="129"/>
        <v>4336.1329960221574</v>
      </c>
      <c r="U135" s="519">
        <f t="shared" si="130"/>
        <v>21382.124345112345</v>
      </c>
    </row>
    <row r="136" spans="1:21">
      <c r="A136" s="4">
        <f>'Input data'!A123</f>
        <v>2023</v>
      </c>
      <c r="B136" s="4"/>
      <c r="C136" s="769">
        <f>'4A SWD Case 2'!BN93</f>
        <v>707.38447455493747</v>
      </c>
      <c r="D136" s="3">
        <f>'4B Biological treatment '!T189</f>
        <v>0.77119520730778568</v>
      </c>
      <c r="E136" s="1157">
        <f>'4B Biological treatment '!U189</f>
        <v>34.703784328850347</v>
      </c>
      <c r="F136" s="1157">
        <f>'4B Biological treatment '!W189</f>
        <v>2.0822270597310211</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14855.073965653686</v>
      </c>
      <c r="M136" s="772">
        <f t="shared" si="122"/>
        <v>16.195099353463497</v>
      </c>
      <c r="N136" s="771">
        <f t="shared" si="123"/>
        <v>1374.2698594224739</v>
      </c>
      <c r="O136" s="773">
        <f t="shared" si="124"/>
        <v>217.34002107405581</v>
      </c>
      <c r="P136" s="771">
        <f t="shared" si="125"/>
        <v>4473.1659836582639</v>
      </c>
      <c r="Q136" s="519">
        <f t="shared" si="126"/>
        <v>14855.073965653686</v>
      </c>
      <c r="R136" s="521">
        <f t="shared" si="127"/>
        <v>1390.4649587759375</v>
      </c>
      <c r="S136" s="518">
        <f t="shared" si="128"/>
        <v>217.34002107405581</v>
      </c>
      <c r="T136" s="519">
        <f t="shared" si="129"/>
        <v>4473.1659836582639</v>
      </c>
      <c r="U136" s="519">
        <f t="shared" si="130"/>
        <v>20936.044929161944</v>
      </c>
    </row>
    <row r="137" spans="1:21">
      <c r="A137" s="4">
        <f>'Input data'!A124</f>
        <v>2024</v>
      </c>
      <c r="B137" s="4"/>
      <c r="C137" s="769">
        <f>'4A SWD Case 2'!BN94</f>
        <v>680.91669222470216</v>
      </c>
      <c r="D137" s="3">
        <f>'4B Biological treatment '!T190</f>
        <v>0.77631922450378565</v>
      </c>
      <c r="E137" s="1157">
        <f>'4B Biological treatment '!U190</f>
        <v>34.934365102670355</v>
      </c>
      <c r="F137" s="1157">
        <f>'4B Biological treatment '!W190</f>
        <v>2.0960619061602213</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14299.250536718746</v>
      </c>
      <c r="M137" s="772">
        <f t="shared" si="122"/>
        <v>16.302703714579497</v>
      </c>
      <c r="N137" s="771">
        <f t="shared" si="123"/>
        <v>1383.400858065746</v>
      </c>
      <c r="O137" s="773">
        <f t="shared" si="124"/>
        <v>205.3038143886219</v>
      </c>
      <c r="P137" s="771">
        <f t="shared" si="125"/>
        <v>4612.7797461997052</v>
      </c>
      <c r="Q137" s="519">
        <f t="shared" si="126"/>
        <v>14299.250536718746</v>
      </c>
      <c r="R137" s="521">
        <f t="shared" si="127"/>
        <v>1399.7035617803256</v>
      </c>
      <c r="S137" s="518">
        <f t="shared" si="128"/>
        <v>205.3038143886219</v>
      </c>
      <c r="T137" s="519">
        <f t="shared" si="129"/>
        <v>4612.7797461997052</v>
      </c>
      <c r="U137" s="519">
        <f t="shared" si="130"/>
        <v>20517.0376590874</v>
      </c>
    </row>
    <row r="138" spans="1:21">
      <c r="A138" s="4">
        <f>'Input data'!A125</f>
        <v>2025</v>
      </c>
      <c r="B138" s="4"/>
      <c r="C138" s="769">
        <f>'4A SWD Case 2'!BN95</f>
        <v>655.49202267803923</v>
      </c>
      <c r="D138" s="3">
        <f>'4B Biological treatment '!T191</f>
        <v>0.78121125108359524</v>
      </c>
      <c r="E138" s="1157">
        <f>'4B Biological treatment '!U191</f>
        <v>35.154506298761781</v>
      </c>
      <c r="F138" s="1157">
        <f>'4B Biological treatment '!W191</f>
        <v>2.1092703779257072</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13765.332476238824</v>
      </c>
      <c r="M138" s="772">
        <f t="shared" si="122"/>
        <v>16.405436272755502</v>
      </c>
      <c r="N138" s="771">
        <f t="shared" si="123"/>
        <v>1392.1184494309666</v>
      </c>
      <c r="O138" s="773">
        <f t="shared" si="124"/>
        <v>193.05753067442905</v>
      </c>
      <c r="P138" s="771">
        <f t="shared" si="125"/>
        <v>4755.015547311632</v>
      </c>
      <c r="Q138" s="519">
        <f t="shared" si="126"/>
        <v>13765.332476238824</v>
      </c>
      <c r="R138" s="521">
        <f t="shared" si="127"/>
        <v>1408.523885703722</v>
      </c>
      <c r="S138" s="518">
        <f t="shared" si="128"/>
        <v>193.05753067442905</v>
      </c>
      <c r="T138" s="519">
        <f t="shared" si="129"/>
        <v>4755.015547311632</v>
      </c>
      <c r="U138" s="519">
        <f t="shared" si="130"/>
        <v>20121.929439928608</v>
      </c>
    </row>
    <row r="139" spans="1:21">
      <c r="A139" s="4">
        <f>'Input data'!A126</f>
        <v>2026</v>
      </c>
      <c r="B139" s="4"/>
      <c r="C139" s="769">
        <f>'4A SWD Case 2'!BN96</f>
        <v>631.03304384108696</v>
      </c>
      <c r="D139" s="3">
        <f>'4B Biological treatment '!T192</f>
        <v>0.78563600657323596</v>
      </c>
      <c r="E139" s="1157">
        <f>'4B Biological treatment '!U192</f>
        <v>35.353620295795615</v>
      </c>
      <c r="F139" s="1157">
        <f>'4B Biological treatment '!W192</f>
        <v>2.1212172177477369</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13251.693920662827</v>
      </c>
      <c r="M139" s="772">
        <f t="shared" si="122"/>
        <v>16.498356138037956</v>
      </c>
      <c r="N139" s="771">
        <f t="shared" si="123"/>
        <v>1400.0033637135064</v>
      </c>
      <c r="O139" s="773">
        <f t="shared" si="124"/>
        <v>180.70037146955198</v>
      </c>
      <c r="P139" s="771">
        <f t="shared" si="125"/>
        <v>4891.8365725125823</v>
      </c>
      <c r="Q139" s="519">
        <f t="shared" si="126"/>
        <v>13251.693920662827</v>
      </c>
      <c r="R139" s="521">
        <f t="shared" si="127"/>
        <v>1416.5017198515443</v>
      </c>
      <c r="S139" s="518">
        <f t="shared" si="128"/>
        <v>180.70037146955198</v>
      </c>
      <c r="T139" s="519">
        <f t="shared" si="129"/>
        <v>4891.8365725125823</v>
      </c>
      <c r="U139" s="519">
        <f t="shared" si="130"/>
        <v>19740.732584496505</v>
      </c>
    </row>
    <row r="140" spans="1:21">
      <c r="A140" s="4">
        <f>'Input data'!A127</f>
        <v>2027</v>
      </c>
      <c r="B140" s="4"/>
      <c r="C140" s="769">
        <f>'4A SWD Case 2'!BN97</f>
        <v>607.46182717331499</v>
      </c>
      <c r="D140" s="3">
        <f>'4B Biological treatment '!T193</f>
        <v>0.78991972285281786</v>
      </c>
      <c r="E140" s="1157">
        <f>'4B Biological treatment '!U193</f>
        <v>35.546387528376798</v>
      </c>
      <c r="F140" s="1157">
        <f>'4B Biological treatment '!W193</f>
        <v>2.132783251702608</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12756.698370639615</v>
      </c>
      <c r="M140" s="772">
        <f t="shared" si="122"/>
        <v>16.588314179909176</v>
      </c>
      <c r="N140" s="771">
        <f t="shared" si="123"/>
        <v>1407.6369461237214</v>
      </c>
      <c r="O140" s="773">
        <f t="shared" si="124"/>
        <v>168.10228643963038</v>
      </c>
      <c r="P140" s="771">
        <f t="shared" si="125"/>
        <v>5030.8909891052281</v>
      </c>
      <c r="Q140" s="519">
        <f t="shared" si="126"/>
        <v>12756.698370639615</v>
      </c>
      <c r="R140" s="521">
        <f t="shared" si="127"/>
        <v>1424.2252603036306</v>
      </c>
      <c r="S140" s="518">
        <f t="shared" si="128"/>
        <v>168.10228643963038</v>
      </c>
      <c r="T140" s="519">
        <f t="shared" si="129"/>
        <v>5030.8909891052281</v>
      </c>
      <c r="U140" s="519">
        <f t="shared" si="130"/>
        <v>19379.916906488106</v>
      </c>
    </row>
    <row r="141" spans="1:21">
      <c r="A141" s="4">
        <f>'Input data'!A128</f>
        <v>2028</v>
      </c>
      <c r="B141" s="4"/>
      <c r="C141" s="769">
        <f>'4A SWD Case 2'!BN98</f>
        <v>584.70785139629322</v>
      </c>
      <c r="D141" s="3">
        <f>'4B Biological treatment '!T194</f>
        <v>0.79398044089865216</v>
      </c>
      <c r="E141" s="1157">
        <f>'4B Biological treatment '!U194</f>
        <v>35.729119840439346</v>
      </c>
      <c r="F141" s="1157">
        <f>'4B Biological treatment '!W194</f>
        <v>2.1437471904263607</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12278.864879322158</v>
      </c>
      <c r="M141" s="772">
        <f t="shared" si="122"/>
        <v>16.673589258871694</v>
      </c>
      <c r="N141" s="771">
        <f t="shared" si="123"/>
        <v>1414.873145681398</v>
      </c>
      <c r="O141" s="773">
        <f t="shared" si="124"/>
        <v>155.25457728774188</v>
      </c>
      <c r="P141" s="771">
        <f t="shared" si="125"/>
        <v>5172.2095138882814</v>
      </c>
      <c r="Q141" s="519">
        <f t="shared" si="126"/>
        <v>12278.864879322158</v>
      </c>
      <c r="R141" s="521">
        <f t="shared" si="127"/>
        <v>1431.5467349402697</v>
      </c>
      <c r="S141" s="518">
        <f t="shared" si="128"/>
        <v>155.25457728774188</v>
      </c>
      <c r="T141" s="519">
        <f t="shared" si="129"/>
        <v>5172.2095138882814</v>
      </c>
      <c r="U141" s="519">
        <f t="shared" si="130"/>
        <v>19037.875705438451</v>
      </c>
    </row>
    <row r="142" spans="1:21">
      <c r="A142" s="4">
        <f>'Input data'!A129</f>
        <v>2029</v>
      </c>
      <c r="B142" s="4"/>
      <c r="C142" s="769">
        <f>'4A SWD Case 2'!BN99</f>
        <v>562.70353211242491</v>
      </c>
      <c r="D142" s="3">
        <f>'4B Biological treatment '!T195</f>
        <v>0.79903525250698149</v>
      </c>
      <c r="E142" s="1157">
        <f>'4B Biological treatment '!U195</f>
        <v>35.956586362814157</v>
      </c>
      <c r="F142" s="1157">
        <f>'4B Biological treatment '!W195</f>
        <v>2.1573951817688495</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11816.774174360922</v>
      </c>
      <c r="M142" s="772">
        <f t="shared" si="122"/>
        <v>16.779740302646612</v>
      </c>
      <c r="N142" s="771">
        <f t="shared" si="123"/>
        <v>1423.8808199674406</v>
      </c>
      <c r="O142" s="773">
        <f t="shared" si="124"/>
        <v>142.1481547216269</v>
      </c>
      <c r="P142" s="771">
        <f t="shared" si="125"/>
        <v>5315.8232520302154</v>
      </c>
      <c r="Q142" s="519">
        <f t="shared" si="126"/>
        <v>11816.774174360922</v>
      </c>
      <c r="R142" s="521">
        <f t="shared" si="127"/>
        <v>1440.6605602700872</v>
      </c>
      <c r="S142" s="518">
        <f t="shared" si="128"/>
        <v>142.1481547216269</v>
      </c>
      <c r="T142" s="519">
        <f t="shared" si="129"/>
        <v>5315.8232520302154</v>
      </c>
      <c r="U142" s="519">
        <f t="shared" si="130"/>
        <v>18715.406141382853</v>
      </c>
    </row>
    <row r="143" spans="1:21">
      <c r="A143" s="4">
        <f>'Input data'!A130</f>
        <v>2030</v>
      </c>
      <c r="B143" s="4"/>
      <c r="C143" s="769">
        <f>'4A SWD Case 2'!BN100</f>
        <v>541.38405999812608</v>
      </c>
      <c r="D143" s="3">
        <f>'4B Biological treatment '!T196</f>
        <v>0.80404035914521621</v>
      </c>
      <c r="E143" s="1157">
        <f>'4B Biological treatment '!U196</f>
        <v>36.181816161534726</v>
      </c>
      <c r="F143" s="1157">
        <f>'4B Biological treatment '!W196</f>
        <v>2.1709089696920838</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11369.065259960647</v>
      </c>
      <c r="M143" s="772">
        <f t="shared" si="122"/>
        <v>16.884847542049542</v>
      </c>
      <c r="N143" s="771">
        <f t="shared" si="123"/>
        <v>1432.7999199967753</v>
      </c>
      <c r="O143" s="773">
        <f t="shared" si="124"/>
        <v>128.77351562592733</v>
      </c>
      <c r="P143" s="771">
        <f t="shared" si="125"/>
        <v>5461.7637017393099</v>
      </c>
      <c r="Q143" s="519">
        <f t="shared" si="126"/>
        <v>11369.065259960647</v>
      </c>
      <c r="R143" s="521">
        <f t="shared" si="127"/>
        <v>1449.6847675388249</v>
      </c>
      <c r="S143" s="518">
        <f t="shared" si="128"/>
        <v>128.77351562592733</v>
      </c>
      <c r="T143" s="519">
        <f t="shared" si="129"/>
        <v>5461.7637017393099</v>
      </c>
      <c r="U143" s="519">
        <f t="shared" si="130"/>
        <v>18409.28724486471</v>
      </c>
    </row>
    <row r="144" spans="1:21">
      <c r="A144" s="4">
        <f>'Input data'!A131</f>
        <v>2031</v>
      </c>
      <c r="B144" s="4"/>
      <c r="C144" s="769">
        <f>'4A SWD Case 2'!BN101</f>
        <v>520.68724570379879</v>
      </c>
      <c r="D144" s="3">
        <f>'4B Biological treatment '!T197</f>
        <v>0.80950256380984476</v>
      </c>
      <c r="E144" s="1157">
        <f>'4B Biological treatment '!U197</f>
        <v>36.427615371443011</v>
      </c>
      <c r="F144" s="1157">
        <f>'4B Biological treatment '!W197</f>
        <v>2.1856569222865807</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10934.432159779775</v>
      </c>
      <c r="M144" s="772">
        <f t="shared" si="122"/>
        <v>16.99955384000674</v>
      </c>
      <c r="N144" s="771">
        <f t="shared" si="123"/>
        <v>1442.5335687091433</v>
      </c>
      <c r="O144" s="773">
        <f t="shared" si="124"/>
        <v>113.56951234567336</v>
      </c>
      <c r="P144" s="771">
        <f t="shared" si="125"/>
        <v>5508.3758769951792</v>
      </c>
      <c r="Q144" s="519">
        <f t="shared" si="126"/>
        <v>10934.432159779775</v>
      </c>
      <c r="R144" s="521">
        <f t="shared" si="127"/>
        <v>1459.53312254915</v>
      </c>
      <c r="S144" s="518">
        <f t="shared" si="128"/>
        <v>113.56951234567336</v>
      </c>
      <c r="T144" s="519">
        <f t="shared" si="129"/>
        <v>5508.3758769951792</v>
      </c>
      <c r="U144" s="519">
        <f t="shared" si="130"/>
        <v>18015.910671669779</v>
      </c>
    </row>
    <row r="145" spans="1:21">
      <c r="A145" s="4">
        <f>'Input data'!A132</f>
        <v>2032</v>
      </c>
      <c r="B145" s="4"/>
      <c r="C145" s="769">
        <f>'4A SWD Case 2'!BN102</f>
        <v>500.42822686517138</v>
      </c>
      <c r="D145" s="3">
        <f>'4B Biological treatment '!T198</f>
        <v>0.81592369679529431</v>
      </c>
      <c r="E145" s="1157">
        <f>'4B Biological treatment '!U198</f>
        <v>36.716566355788245</v>
      </c>
      <c r="F145" s="1157">
        <f>'4B Biological treatment '!W198</f>
        <v>2.2029939813472943</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10508.992764168599</v>
      </c>
      <c r="M145" s="772">
        <f t="shared" si="122"/>
        <v>17.13439763270118</v>
      </c>
      <c r="N145" s="771">
        <f t="shared" si="123"/>
        <v>1453.9760276892143</v>
      </c>
      <c r="O145" s="773">
        <f t="shared" si="124"/>
        <v>98.459981517794233</v>
      </c>
      <c r="P145" s="771">
        <f t="shared" si="125"/>
        <v>5555.3858532180511</v>
      </c>
      <c r="Q145" s="519">
        <f t="shared" si="126"/>
        <v>10508.992764168599</v>
      </c>
      <c r="R145" s="521">
        <f t="shared" si="127"/>
        <v>1471.1104253219155</v>
      </c>
      <c r="S145" s="518">
        <f t="shared" si="128"/>
        <v>98.459981517794233</v>
      </c>
      <c r="T145" s="519">
        <f t="shared" si="129"/>
        <v>5555.3858532180511</v>
      </c>
      <c r="U145" s="519">
        <f t="shared" si="130"/>
        <v>17633.949024226356</v>
      </c>
    </row>
    <row r="146" spans="1:21">
      <c r="A146" s="4">
        <f>'Input data'!A133</f>
        <v>2033</v>
      </c>
      <c r="B146" s="4"/>
      <c r="C146" s="769">
        <f>'4A SWD Case 2'!BN103</f>
        <v>480.58334812510867</v>
      </c>
      <c r="D146" s="3">
        <f>'4B Biological treatment '!T199</f>
        <v>0.82285459056188603</v>
      </c>
      <c r="E146" s="1157">
        <f>'4B Biological treatment '!U199</f>
        <v>37.028456575284864</v>
      </c>
      <c r="F146" s="1157">
        <f>'4B Biological treatment '!W199</f>
        <v>2.2217073945170922</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10092.250310627282</v>
      </c>
      <c r="M146" s="772">
        <f t="shared" si="122"/>
        <v>17.279946401799606</v>
      </c>
      <c r="N146" s="771">
        <f t="shared" si="123"/>
        <v>1466.3268803812807</v>
      </c>
      <c r="O146" s="773">
        <f t="shared" si="124"/>
        <v>98.168119205727166</v>
      </c>
      <c r="P146" s="771">
        <f t="shared" si="125"/>
        <v>5602.7970253494477</v>
      </c>
      <c r="Q146" s="519">
        <f t="shared" si="126"/>
        <v>10092.250310627282</v>
      </c>
      <c r="R146" s="521">
        <f t="shared" si="127"/>
        <v>1483.6068267830804</v>
      </c>
      <c r="S146" s="518">
        <f t="shared" si="128"/>
        <v>98.168119205727166</v>
      </c>
      <c r="T146" s="519">
        <f t="shared" si="129"/>
        <v>5602.7970253494477</v>
      </c>
      <c r="U146" s="519">
        <f t="shared" si="130"/>
        <v>17276.822281965535</v>
      </c>
    </row>
    <row r="147" spans="1:21">
      <c r="A147" s="4">
        <f>'Input data'!A134</f>
        <v>2034</v>
      </c>
      <c r="B147" s="4"/>
      <c r="C147" s="769">
        <f>'4A SWD Case 2'!BN104</f>
        <v>461.71789239887715</v>
      </c>
      <c r="D147" s="3">
        <f>'4B Biological treatment '!T200</f>
        <v>0.83094331513572506</v>
      </c>
      <c r="E147" s="1157">
        <f>'4B Biological treatment '!U200</f>
        <v>37.392449181107629</v>
      </c>
      <c r="F147" s="1157">
        <f>'4B Biological treatment '!W200</f>
        <v>2.2435469508664578</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9696.0757403764201</v>
      </c>
      <c r="M147" s="772">
        <f t="shared" si="122"/>
        <v>17.449809617850228</v>
      </c>
      <c r="N147" s="771">
        <f t="shared" si="123"/>
        <v>1480.7409875718622</v>
      </c>
      <c r="O147" s="773">
        <f t="shared" si="124"/>
        <v>97.880430060004471</v>
      </c>
      <c r="P147" s="771">
        <f t="shared" si="125"/>
        <v>5650.6128173042498</v>
      </c>
      <c r="Q147" s="519">
        <f t="shared" si="126"/>
        <v>9696.0757403764201</v>
      </c>
      <c r="R147" s="521">
        <f t="shared" si="127"/>
        <v>1498.1907971897124</v>
      </c>
      <c r="S147" s="518">
        <f t="shared" si="128"/>
        <v>97.880430060004471</v>
      </c>
      <c r="T147" s="519">
        <f t="shared" si="129"/>
        <v>5650.6128173042498</v>
      </c>
      <c r="U147" s="519">
        <f t="shared" si="130"/>
        <v>16942.759784930386</v>
      </c>
    </row>
    <row r="148" spans="1:21">
      <c r="A148" s="4">
        <f>'Input data'!A135</f>
        <v>2035</v>
      </c>
      <c r="B148" s="4"/>
      <c r="C148" s="769">
        <f>'4A SWD Case 2'!BN105</f>
        <v>443.78410687728183</v>
      </c>
      <c r="D148" s="3">
        <f>'4B Biological treatment '!T201</f>
        <v>0.83746647205563074</v>
      </c>
      <c r="E148" s="1157">
        <f>'4B Biological treatment '!U201</f>
        <v>37.685991242503377</v>
      </c>
      <c r="F148" s="1157">
        <f>'4B Biological treatment '!W201</f>
        <v>2.2611594745502028</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9319.466244422918</v>
      </c>
      <c r="M148" s="772">
        <f t="shared" si="122"/>
        <v>17.586795913168245</v>
      </c>
      <c r="N148" s="771">
        <f t="shared" si="123"/>
        <v>1492.3652532031338</v>
      </c>
      <c r="O148" s="773">
        <f t="shared" si="124"/>
        <v>97.596835379073497</v>
      </c>
      <c r="P148" s="771">
        <f t="shared" si="125"/>
        <v>5698.8366822179532</v>
      </c>
      <c r="Q148" s="519">
        <f t="shared" si="126"/>
        <v>9319.466244422918</v>
      </c>
      <c r="R148" s="521">
        <f t="shared" si="127"/>
        <v>1509.9520491163021</v>
      </c>
      <c r="S148" s="518">
        <f t="shared" si="128"/>
        <v>97.596835379073497</v>
      </c>
      <c r="T148" s="519">
        <f t="shared" si="129"/>
        <v>5698.8366822179532</v>
      </c>
      <c r="U148" s="519">
        <f t="shared" si="130"/>
        <v>16625.851811136246</v>
      </c>
    </row>
    <row r="149" spans="1:21">
      <c r="A149" s="4">
        <f>'Input data'!A136</f>
        <v>2036</v>
      </c>
      <c r="B149" s="4"/>
      <c r="C149" s="769">
        <f>'4A SWD Case 2'!BN106</f>
        <v>426.7365656755473</v>
      </c>
      <c r="D149" s="3">
        <f>'4B Biological treatment '!T202</f>
        <v>0.84378297956130932</v>
      </c>
      <c r="E149" s="1157">
        <f>'4B Biological treatment '!U202</f>
        <v>37.970234080258919</v>
      </c>
      <c r="F149" s="1157">
        <f>'4B Biological treatment '!W202</f>
        <v>2.278214044815535</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8961.4678791864935</v>
      </c>
      <c r="M149" s="772">
        <f t="shared" si="122"/>
        <v>17.719442570787496</v>
      </c>
      <c r="N149" s="771">
        <f t="shared" si="123"/>
        <v>1503.6212695782531</v>
      </c>
      <c r="O149" s="773">
        <f t="shared" si="124"/>
        <v>97.356613290882166</v>
      </c>
      <c r="P149" s="771">
        <f t="shared" si="125"/>
        <v>5740.5587570983689</v>
      </c>
      <c r="Q149" s="519">
        <f t="shared" si="126"/>
        <v>8961.4678791864935</v>
      </c>
      <c r="R149" s="521">
        <f t="shared" si="127"/>
        <v>1521.3407121490407</v>
      </c>
      <c r="S149" s="518">
        <f t="shared" si="128"/>
        <v>97.356613290882166</v>
      </c>
      <c r="T149" s="519">
        <f t="shared" si="129"/>
        <v>5740.5587570983689</v>
      </c>
      <c r="U149" s="519">
        <f t="shared" si="130"/>
        <v>16320.723961724783</v>
      </c>
    </row>
    <row r="150" spans="1:21">
      <c r="A150" s="4">
        <f>'Input data'!A137</f>
        <v>2037</v>
      </c>
      <c r="B150" s="4"/>
      <c r="C150" s="769">
        <f>'4A SWD Case 2'!BN107</f>
        <v>410.57657136511477</v>
      </c>
      <c r="D150" s="3">
        <f>'4B Biological treatment '!T203</f>
        <v>0.85084097894940547</v>
      </c>
      <c r="E150" s="1157">
        <f>'4B Biological treatment '!U203</f>
        <v>38.287844052723237</v>
      </c>
      <c r="F150" s="1157">
        <f>'4B Biological treatment '!W203</f>
        <v>2.2972706431633942</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8622.1079986674104</v>
      </c>
      <c r="M150" s="772">
        <f t="shared" si="122"/>
        <v>17.867660557937516</v>
      </c>
      <c r="N150" s="771">
        <f t="shared" si="123"/>
        <v>1516.1986244878403</v>
      </c>
      <c r="O150" s="773">
        <f t="shared" si="124"/>
        <v>97.11930396370947</v>
      </c>
      <c r="P150" s="771">
        <f t="shared" si="125"/>
        <v>5782.5862858160108</v>
      </c>
      <c r="Q150" s="519">
        <f t="shared" si="126"/>
        <v>8622.1079986674104</v>
      </c>
      <c r="R150" s="521">
        <f t="shared" si="127"/>
        <v>1534.0662850457779</v>
      </c>
      <c r="S150" s="518">
        <f t="shared" si="128"/>
        <v>97.11930396370947</v>
      </c>
      <c r="T150" s="519">
        <f t="shared" si="129"/>
        <v>5782.5862858160108</v>
      </c>
      <c r="U150" s="519">
        <f t="shared" si="130"/>
        <v>16035.879873492908</v>
      </c>
    </row>
    <row r="151" spans="1:21">
      <c r="A151" s="4">
        <f>'Input data'!A138</f>
        <v>2038</v>
      </c>
      <c r="B151" s="4"/>
      <c r="C151" s="769">
        <f>'4A SWD Case 2'!BN108</f>
        <v>395.92056536791347</v>
      </c>
      <c r="D151" s="3">
        <f>'4B Biological treatment '!T204</f>
        <v>0.85784666798126374</v>
      </c>
      <c r="E151" s="1157">
        <f>'4B Biological treatment '!U204</f>
        <v>38.603100059156858</v>
      </c>
      <c r="F151" s="1157">
        <f>'4B Biological treatment '!W204</f>
        <v>2.3161860035494115</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8314.3318727261831</v>
      </c>
      <c r="M151" s="772">
        <f t="shared" si="122"/>
        <v>18.014780027606538</v>
      </c>
      <c r="N151" s="771">
        <f t="shared" si="123"/>
        <v>1528.6827623426116</v>
      </c>
      <c r="O151" s="773">
        <f t="shared" si="124"/>
        <v>96.88486093946301</v>
      </c>
      <c r="P151" s="771">
        <f t="shared" si="125"/>
        <v>5824.9215046462123</v>
      </c>
      <c r="Q151" s="519">
        <f t="shared" si="126"/>
        <v>8314.3318727261831</v>
      </c>
      <c r="R151" s="521">
        <f t="shared" si="127"/>
        <v>1546.6975423702181</v>
      </c>
      <c r="S151" s="518">
        <f t="shared" si="128"/>
        <v>96.88486093946301</v>
      </c>
      <c r="T151" s="519">
        <f t="shared" si="129"/>
        <v>5824.9215046462123</v>
      </c>
      <c r="U151" s="519">
        <f t="shared" si="130"/>
        <v>15782.835780682077</v>
      </c>
    </row>
    <row r="152" spans="1:21">
      <c r="A152" s="4">
        <f>'Input data'!A139</f>
        <v>2039</v>
      </c>
      <c r="B152" s="4"/>
      <c r="C152" s="769">
        <f>'4A SWD Case 2'!BN109</f>
        <v>382.43842844349564</v>
      </c>
      <c r="D152" s="3">
        <f>'4B Biological treatment '!T205</f>
        <v>0.8652151689909412</v>
      </c>
      <c r="E152" s="1157">
        <f>'4B Biological treatment '!U205</f>
        <v>38.934682604592346</v>
      </c>
      <c r="F152" s="1157">
        <f>'4B Biological treatment '!W205</f>
        <v>2.3360809562755409</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8031.2069973134085</v>
      </c>
      <c r="M152" s="772">
        <f t="shared" si="122"/>
        <v>18.169518548809766</v>
      </c>
      <c r="N152" s="771">
        <f t="shared" si="123"/>
        <v>1541.8134311418571</v>
      </c>
      <c r="O152" s="773">
        <f t="shared" si="124"/>
        <v>96.653238724891821</v>
      </c>
      <c r="P152" s="771">
        <f t="shared" si="125"/>
        <v>5867.5666662364183</v>
      </c>
      <c r="Q152" s="519">
        <f t="shared" si="126"/>
        <v>8031.2069973134085</v>
      </c>
      <c r="R152" s="521">
        <f t="shared" si="127"/>
        <v>1559.9829496906668</v>
      </c>
      <c r="S152" s="518">
        <f t="shared" si="128"/>
        <v>96.653238724891821</v>
      </c>
      <c r="T152" s="519">
        <f t="shared" si="129"/>
        <v>5867.5666662364183</v>
      </c>
      <c r="U152" s="519">
        <f t="shared" si="130"/>
        <v>15555.409851965385</v>
      </c>
    </row>
    <row r="153" spans="1:21">
      <c r="A153" s="4">
        <f>'Input data'!A140</f>
        <v>2040</v>
      </c>
      <c r="B153" s="4"/>
      <c r="C153" s="769">
        <f>'4A SWD Case 2'!BN110</f>
        <v>370.07965170230568</v>
      </c>
      <c r="D153" s="3">
        <f>'4B Biological treatment '!T206</f>
        <v>0.8726769482306409</v>
      </c>
      <c r="E153" s="1157">
        <f>'4B Biological treatment '!U206</f>
        <v>39.270462670378834</v>
      </c>
      <c r="F153" s="1157">
        <f>'4B Biological treatment '!W206</f>
        <v>2.3562277602227302</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7771.6726857484191</v>
      </c>
      <c r="M153" s="772">
        <f t="shared" si="122"/>
        <v>18.326215912843459</v>
      </c>
      <c r="N153" s="771">
        <f t="shared" si="123"/>
        <v>1555.1103217470018</v>
      </c>
      <c r="O153" s="773">
        <f t="shared" si="124"/>
        <v>96.424392766634725</v>
      </c>
      <c r="P153" s="771">
        <f t="shared" si="125"/>
        <v>5910.5240397260632</v>
      </c>
      <c r="Q153" s="519">
        <f t="shared" si="126"/>
        <v>7771.6726857484191</v>
      </c>
      <c r="R153" s="521">
        <f t="shared" si="127"/>
        <v>1573.4365376598453</v>
      </c>
      <c r="S153" s="518">
        <f t="shared" si="128"/>
        <v>96.424392766634725</v>
      </c>
      <c r="T153" s="519">
        <f t="shared" si="129"/>
        <v>5910.5240397260632</v>
      </c>
      <c r="U153" s="519">
        <f t="shared" si="130"/>
        <v>15352.057655900961</v>
      </c>
    </row>
    <row r="154" spans="1:21">
      <c r="A154" s="4">
        <f>'Input data'!A141</f>
        <v>2041</v>
      </c>
      <c r="B154" s="4"/>
      <c r="C154" s="769">
        <f>'4A SWD Case 2'!BN111</f>
        <v>358.79558256068293</v>
      </c>
      <c r="D154" s="3">
        <f>'4B Biological treatment '!T207</f>
        <v>0.88088565226415672</v>
      </c>
      <c r="E154" s="1157">
        <f>'4B Biological treatment '!U207</f>
        <v>39.639854351887045</v>
      </c>
      <c r="F154" s="1157">
        <f>'4B Biological treatment '!W207</f>
        <v>2.3783912611132227</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7534.7072337743411</v>
      </c>
      <c r="M154" s="772">
        <f t="shared" si="122"/>
        <v>18.49859869754729</v>
      </c>
      <c r="N154" s="771">
        <f t="shared" si="123"/>
        <v>1569.7382323347269</v>
      </c>
      <c r="O154" s="773">
        <f t="shared" si="124"/>
        <v>96.232289152450377</v>
      </c>
      <c r="P154" s="771">
        <f t="shared" si="125"/>
        <v>5947.2338879558556</v>
      </c>
      <c r="Q154" s="519">
        <f t="shared" si="126"/>
        <v>7534.7072337743411</v>
      </c>
      <c r="R154" s="521">
        <f t="shared" si="127"/>
        <v>1588.2368310322743</v>
      </c>
      <c r="S154" s="518">
        <f t="shared" si="128"/>
        <v>96.232289152450377</v>
      </c>
      <c r="T154" s="519">
        <f t="shared" si="129"/>
        <v>5947.2338879558556</v>
      </c>
      <c r="U154" s="519">
        <f t="shared" si="130"/>
        <v>15166.410241914922</v>
      </c>
    </row>
    <row r="155" spans="1:21">
      <c r="A155" s="4">
        <f>'Input data'!A142</f>
        <v>2042</v>
      </c>
      <c r="B155" s="4"/>
      <c r="C155" s="769">
        <f>'4A SWD Case 2'!BN112</f>
        <v>348.32347661850514</v>
      </c>
      <c r="D155" s="3">
        <f>'4B Biological treatment '!T208</f>
        <v>0.88885701624084912</v>
      </c>
      <c r="E155" s="1157">
        <f>'4B Biological treatment '!U208</f>
        <v>39.998565730838202</v>
      </c>
      <c r="F155" s="1157">
        <f>'4B Biological treatment '!W208</f>
        <v>2.3999139438502919</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7314.7930089886077</v>
      </c>
      <c r="M155" s="772">
        <f t="shared" si="122"/>
        <v>18.665997341057832</v>
      </c>
      <c r="N155" s="771">
        <f t="shared" si="123"/>
        <v>1583.9432029411928</v>
      </c>
      <c r="O155" s="773">
        <f t="shared" si="124"/>
        <v>96.042128189602451</v>
      </c>
      <c r="P155" s="771">
        <f t="shared" si="125"/>
        <v>5984.171738465644</v>
      </c>
      <c r="Q155" s="519">
        <f t="shared" si="126"/>
        <v>7314.7930089886077</v>
      </c>
      <c r="R155" s="521">
        <f t="shared" si="127"/>
        <v>1602.6092002822506</v>
      </c>
      <c r="S155" s="518">
        <f t="shared" si="128"/>
        <v>96.042128189602451</v>
      </c>
      <c r="T155" s="519">
        <f t="shared" si="129"/>
        <v>5984.171738465644</v>
      </c>
      <c r="U155" s="519">
        <f t="shared" si="130"/>
        <v>14997.616075926106</v>
      </c>
    </row>
    <row r="156" spans="1:21">
      <c r="A156" s="4">
        <f>'Input data'!A143</f>
        <v>2043</v>
      </c>
      <c r="B156" s="4"/>
      <c r="C156" s="769">
        <f>'4A SWD Case 2'!BN113</f>
        <v>338.62575269183196</v>
      </c>
      <c r="D156" s="3">
        <f>'4B Biological treatment '!T209</f>
        <v>0.89700320759428354</v>
      </c>
      <c r="E156" s="1157">
        <f>'4B Biological treatment '!U209</f>
        <v>40.365144341742763</v>
      </c>
      <c r="F156" s="1157">
        <f>'4B Biological treatment '!W209</f>
        <v>2.4219086605045654</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7111.1408065284713</v>
      </c>
      <c r="M156" s="772">
        <f t="shared" si="122"/>
        <v>18.837067359479953</v>
      </c>
      <c r="N156" s="771">
        <f t="shared" si="123"/>
        <v>1598.4597159330133</v>
      </c>
      <c r="O156" s="773">
        <f t="shared" si="124"/>
        <v>95.853884148944275</v>
      </c>
      <c r="P156" s="771">
        <f t="shared" si="125"/>
        <v>6021.3390073615255</v>
      </c>
      <c r="Q156" s="519">
        <f t="shared" si="126"/>
        <v>7111.1408065284713</v>
      </c>
      <c r="R156" s="521">
        <f t="shared" si="127"/>
        <v>1617.2967832924933</v>
      </c>
      <c r="S156" s="518">
        <f t="shared" si="128"/>
        <v>95.853884148944275</v>
      </c>
      <c r="T156" s="519">
        <f t="shared" si="129"/>
        <v>6021.3390073615255</v>
      </c>
      <c r="U156" s="519">
        <f t="shared" si="130"/>
        <v>14845.630481331435</v>
      </c>
    </row>
    <row r="157" spans="1:21">
      <c r="A157" s="4">
        <f>'Input data'!A144</f>
        <v>2044</v>
      </c>
      <c r="B157" s="4"/>
      <c r="C157" s="769">
        <f>'4A SWD Case 2'!BN114</f>
        <v>329.66734135305683</v>
      </c>
      <c r="D157" s="3">
        <f>'4B Biological treatment '!T210</f>
        <v>0.90543516301832161</v>
      </c>
      <c r="E157" s="1157">
        <f>'4B Biological treatment '!U210</f>
        <v>40.744582335824468</v>
      </c>
      <c r="F157" s="1157">
        <f>'4B Biological treatment '!W210</f>
        <v>2.4446749401494681</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6923.0141684141936</v>
      </c>
      <c r="M157" s="772">
        <f t="shared" si="122"/>
        <v>19.014138423384754</v>
      </c>
      <c r="N157" s="771">
        <f t="shared" si="123"/>
        <v>1613.485460498649</v>
      </c>
      <c r="O157" s="773">
        <f t="shared" si="124"/>
        <v>95.667531744697669</v>
      </c>
      <c r="P157" s="771">
        <f t="shared" si="125"/>
        <v>6058.7371195449232</v>
      </c>
      <c r="Q157" s="519">
        <f t="shared" si="126"/>
        <v>6923.0141684141936</v>
      </c>
      <c r="R157" s="521">
        <f t="shared" si="127"/>
        <v>1632.4995989220338</v>
      </c>
      <c r="S157" s="518">
        <f t="shared" si="128"/>
        <v>95.667531744697669</v>
      </c>
      <c r="T157" s="519">
        <f t="shared" si="129"/>
        <v>6058.7371195449232</v>
      </c>
      <c r="U157" s="519">
        <f t="shared" si="130"/>
        <v>14709.918418625848</v>
      </c>
    </row>
    <row r="158" spans="1:21">
      <c r="A158" s="4">
        <f>'Input data'!A145</f>
        <v>2045</v>
      </c>
      <c r="B158" s="4"/>
      <c r="C158" s="769">
        <f>'4A SWD Case 2'!BN115</f>
        <v>321.4150072338731</v>
      </c>
      <c r="D158" s="3">
        <f>'4B Biological treatment '!T211</f>
        <v>0.9141985151249663</v>
      </c>
      <c r="E158" s="1157">
        <f>'4B Biological treatment '!U211</f>
        <v>41.138933180623482</v>
      </c>
      <c r="F158" s="1157">
        <f>'4B Biological treatment '!W211</f>
        <v>2.4683359908374092</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6749.7151519113349</v>
      </c>
      <c r="M158" s="772">
        <f t="shared" si="122"/>
        <v>19.198168817624293</v>
      </c>
      <c r="N158" s="771">
        <f t="shared" si="123"/>
        <v>1629.1017539526899</v>
      </c>
      <c r="O158" s="773">
        <f t="shared" si="124"/>
        <v>95.48304612493115</v>
      </c>
      <c r="P158" s="771">
        <f t="shared" si="125"/>
        <v>6096.3675087672291</v>
      </c>
      <c r="Q158" s="519">
        <f t="shared" si="126"/>
        <v>6749.7151519113349</v>
      </c>
      <c r="R158" s="521">
        <f t="shared" si="127"/>
        <v>1648.2999227703142</v>
      </c>
      <c r="S158" s="518">
        <f t="shared" si="128"/>
        <v>95.48304612493115</v>
      </c>
      <c r="T158" s="519">
        <f t="shared" si="129"/>
        <v>6096.3675087672291</v>
      </c>
      <c r="U158" s="519">
        <f t="shared" si="130"/>
        <v>14589.865629573809</v>
      </c>
    </row>
    <row r="159" spans="1:21">
      <c r="A159" s="4">
        <f>'Input data'!A146</f>
        <v>2046</v>
      </c>
      <c r="B159" s="4"/>
      <c r="C159" s="769">
        <f>'4A SWD Case 2'!BN116</f>
        <v>313.83713241993667</v>
      </c>
      <c r="D159" s="3">
        <f>'4B Biological treatment '!T212</f>
        <v>0.92394252541080701</v>
      </c>
      <c r="E159" s="1157">
        <f>'4B Biological treatment '!U212</f>
        <v>41.57741364348631</v>
      </c>
      <c r="F159" s="1157">
        <f>'4B Biological treatment '!W212</f>
        <v>2.4946448186091787</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6590.5797808186699</v>
      </c>
      <c r="M159" s="772">
        <f t="shared" si="122"/>
        <v>19.402793033626946</v>
      </c>
      <c r="N159" s="771">
        <f t="shared" si="123"/>
        <v>1646.465580282058</v>
      </c>
      <c r="O159" s="773">
        <f t="shared" si="124"/>
        <v>95.332713212379986</v>
      </c>
      <c r="P159" s="771">
        <f t="shared" si="125"/>
        <v>6127.4884893628396</v>
      </c>
      <c r="Q159" s="519">
        <f t="shared" si="126"/>
        <v>6590.5797808186699</v>
      </c>
      <c r="R159" s="521">
        <f t="shared" si="127"/>
        <v>1665.8683733156849</v>
      </c>
      <c r="S159" s="518">
        <f t="shared" si="128"/>
        <v>95.332713212379986</v>
      </c>
      <c r="T159" s="519">
        <f t="shared" si="129"/>
        <v>6127.4884893628396</v>
      </c>
      <c r="U159" s="519">
        <f t="shared" si="130"/>
        <v>14479.269356709574</v>
      </c>
    </row>
    <row r="160" spans="1:21">
      <c r="A160" s="4">
        <f>'Input data'!A147</f>
        <v>2047</v>
      </c>
      <c r="B160" s="4"/>
      <c r="C160" s="769">
        <f>'4A SWD Case 2'!BN117</f>
        <v>306.68976120351226</v>
      </c>
      <c r="D160" s="3">
        <f>'4B Biological treatment '!T213</f>
        <v>0.93093750708463008</v>
      </c>
      <c r="E160" s="1157">
        <f>'4B Biological treatment '!U213</f>
        <v>41.892187818808353</v>
      </c>
      <c r="F160" s="1157">
        <f>'4B Biological treatment '!W213</f>
        <v>2.5135312691285012</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6440.484985273757</v>
      </c>
      <c r="M160" s="772">
        <f t="shared" si="122"/>
        <v>19.549687648777233</v>
      </c>
      <c r="N160" s="771">
        <f t="shared" si="123"/>
        <v>1658.930637624811</v>
      </c>
      <c r="O160" s="773">
        <f t="shared" si="124"/>
        <v>95.183612874715863</v>
      </c>
      <c r="P160" s="771">
        <f t="shared" si="125"/>
        <v>6158.7683375844354</v>
      </c>
      <c r="Q160" s="519">
        <f t="shared" si="126"/>
        <v>6440.484985273757</v>
      </c>
      <c r="R160" s="521">
        <f t="shared" si="127"/>
        <v>1678.4803252735883</v>
      </c>
      <c r="S160" s="518">
        <f t="shared" si="128"/>
        <v>95.183612874715863</v>
      </c>
      <c r="T160" s="519">
        <f t="shared" si="129"/>
        <v>6158.7683375844354</v>
      </c>
      <c r="U160" s="519">
        <f t="shared" si="130"/>
        <v>14372.917261006496</v>
      </c>
    </row>
    <row r="161" spans="1:21">
      <c r="A161" s="4">
        <f>'Input data'!A148</f>
        <v>2048</v>
      </c>
      <c r="B161" s="4"/>
      <c r="C161" s="769">
        <f>'4A SWD Case 2'!BN118</f>
        <v>299.94511183352768</v>
      </c>
      <c r="D161" s="3">
        <f>'4B Biological treatment '!T214</f>
        <v>0.93818191817695706</v>
      </c>
      <c r="E161" s="1157">
        <f>'4B Biological treatment '!U214</f>
        <v>42.21818631796306</v>
      </c>
      <c r="F161" s="1157">
        <f>'4B Biological treatment '!W214</f>
        <v>2.5330911790777839</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6298.8473485040813</v>
      </c>
      <c r="M161" s="772">
        <f t="shared" si="122"/>
        <v>19.701820281716099</v>
      </c>
      <c r="N161" s="771">
        <f t="shared" si="123"/>
        <v>1671.8401781913371</v>
      </c>
      <c r="O161" s="773">
        <f t="shared" si="124"/>
        <v>95.035731924294083</v>
      </c>
      <c r="P161" s="771">
        <f t="shared" si="125"/>
        <v>6190.2078644258199</v>
      </c>
      <c r="Q161" s="519">
        <f t="shared" si="126"/>
        <v>6298.8473485040813</v>
      </c>
      <c r="R161" s="521">
        <f t="shared" si="127"/>
        <v>1691.5419984730534</v>
      </c>
      <c r="S161" s="518">
        <f t="shared" si="128"/>
        <v>95.035731924294083</v>
      </c>
      <c r="T161" s="519">
        <f t="shared" si="129"/>
        <v>6190.2078644258199</v>
      </c>
      <c r="U161" s="519">
        <f t="shared" si="130"/>
        <v>14275.632943327248</v>
      </c>
    </row>
    <row r="162" spans="1:21">
      <c r="A162" s="4">
        <f>'Input data'!A149</f>
        <v>2049</v>
      </c>
      <c r="B162" s="4"/>
      <c r="C162" s="769">
        <f>'4A SWD Case 2'!BN119</f>
        <v>293.58377621036448</v>
      </c>
      <c r="D162" s="3">
        <f>'4B Biological treatment '!T215</f>
        <v>0.9452129106513798</v>
      </c>
      <c r="E162" s="1157">
        <f>'4B Biological treatment '!U215</f>
        <v>42.534580979312082</v>
      </c>
      <c r="F162" s="1157">
        <f>'4B Biological treatment '!W215</f>
        <v>2.5520748587587252</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6165.2593004176542</v>
      </c>
      <c r="M162" s="772">
        <f t="shared" si="122"/>
        <v>19.849471123678974</v>
      </c>
      <c r="N162" s="771">
        <f t="shared" si="123"/>
        <v>1684.3694067807587</v>
      </c>
      <c r="O162" s="773">
        <f t="shared" si="124"/>
        <v>94.889057356937755</v>
      </c>
      <c r="P162" s="771">
        <f t="shared" si="125"/>
        <v>6221.8078850207985</v>
      </c>
      <c r="Q162" s="519">
        <f t="shared" si="126"/>
        <v>6165.2593004176542</v>
      </c>
      <c r="R162" s="521">
        <f t="shared" si="127"/>
        <v>1704.2188779044377</v>
      </c>
      <c r="S162" s="518">
        <f t="shared" si="128"/>
        <v>94.889057356937755</v>
      </c>
      <c r="T162" s="519">
        <f t="shared" si="129"/>
        <v>6221.8078850207985</v>
      </c>
      <c r="U162" s="519">
        <f t="shared" si="130"/>
        <v>14186.175120699827</v>
      </c>
    </row>
    <row r="163" spans="1:21">
      <c r="A163" s="4">
        <f>'Input data'!A150</f>
        <v>2050</v>
      </c>
      <c r="B163" s="4"/>
      <c r="C163" s="769">
        <f>'4A SWD Case 2'!BN120</f>
        <v>287.58630804970937</v>
      </c>
      <c r="D163" s="3">
        <f>'4B Biological treatment '!T216</f>
        <v>0.9522861659447085</v>
      </c>
      <c r="E163" s="1157">
        <f>'4B Biological treatment '!U216</f>
        <v>42.852877467511874</v>
      </c>
      <c r="F163" s="1157">
        <f>'4B Biological treatment '!W216</f>
        <v>2.5711726480507124</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6039.3124690438972</v>
      </c>
      <c r="M163" s="772">
        <f t="shared" si="122"/>
        <v>19.998009484838878</v>
      </c>
      <c r="N163" s="771">
        <f t="shared" si="123"/>
        <v>1696.9739477134704</v>
      </c>
      <c r="O163" s="773">
        <f t="shared" si="124"/>
        <v>94.743576348754203</v>
      </c>
      <c r="P163" s="771">
        <f t="shared" si="125"/>
        <v>6253.5692186643009</v>
      </c>
      <c r="Q163" s="471">
        <f t="shared" si="126"/>
        <v>6039.3124690438972</v>
      </c>
      <c r="R163" s="517">
        <f t="shared" si="127"/>
        <v>1716.9719571983092</v>
      </c>
      <c r="S163" s="514">
        <f t="shared" si="128"/>
        <v>94.743576348754203</v>
      </c>
      <c r="T163" s="471">
        <f t="shared" si="129"/>
        <v>6253.5692186643009</v>
      </c>
      <c r="U163" s="471">
        <f t="shared" si="130"/>
        <v>14104.597221255261</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1.2710110729265907</v>
      </c>
      <c r="E166" s="178">
        <f>'4B Biological treatment '!U219</f>
        <v>19.938637002127447</v>
      </c>
      <c r="F166" s="178">
        <f>'4B Biological treatment '!W219</f>
        <v>1.1963182201276465</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26.691232531458404</v>
      </c>
      <c r="N166" s="771">
        <f t="shared" si="132"/>
        <v>789.57002528424687</v>
      </c>
      <c r="O166" s="773">
        <f t="shared" si="133"/>
        <v>307.81392004196488</v>
      </c>
      <c r="P166" s="771">
        <f t="shared" si="134"/>
        <v>3922.0560748079342</v>
      </c>
      <c r="Q166" s="519">
        <f t="shared" si="135"/>
        <v>16839.906548915631</v>
      </c>
      <c r="R166" s="521">
        <f t="shared" si="136"/>
        <v>816.26125781570522</v>
      </c>
      <c r="S166" s="518">
        <f t="shared" si="137"/>
        <v>307.81392004196488</v>
      </c>
      <c r="T166" s="519">
        <f t="shared" si="138"/>
        <v>3922.0560748079342</v>
      </c>
      <c r="U166" s="519">
        <f t="shared" si="139"/>
        <v>21886.037801581235</v>
      </c>
    </row>
    <row r="167" spans="1:21">
      <c r="A167">
        <f>'Input data'!A120</f>
        <v>2020</v>
      </c>
      <c r="C167" s="314">
        <f>'4A SWD Case 3'!BG90</f>
        <v>782.0418960841854</v>
      </c>
      <c r="D167" s="3">
        <f>'4B Biological treatment '!T220</f>
        <v>1.8785908763672001</v>
      </c>
      <c r="E167" s="178">
        <f>'4B Biological treatment '!U220</f>
        <v>19.319868902018904</v>
      </c>
      <c r="F167" s="178">
        <f>'4B Biological treatment '!W220</f>
        <v>1.1591921341211342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16422.879817767895</v>
      </c>
      <c r="M167" s="772">
        <f t="shared" si="131"/>
        <v>39.450408403711201</v>
      </c>
      <c r="N167" s="771">
        <f t="shared" si="132"/>
        <v>765.06680851994861</v>
      </c>
      <c r="O167" s="773">
        <f t="shared" si="133"/>
        <v>299.52410113774715</v>
      </c>
      <c r="P167" s="771">
        <f t="shared" si="134"/>
        <v>4069.6472808319609</v>
      </c>
      <c r="Q167" s="519">
        <f t="shared" si="135"/>
        <v>16422.879817767895</v>
      </c>
      <c r="R167" s="521">
        <f t="shared" si="136"/>
        <v>804.51721692365982</v>
      </c>
      <c r="S167" s="518">
        <f t="shared" si="137"/>
        <v>299.52410113774715</v>
      </c>
      <c r="T167" s="519">
        <f t="shared" si="138"/>
        <v>4069.6472808319609</v>
      </c>
      <c r="U167" s="519">
        <f t="shared" si="139"/>
        <v>21596.568416661263</v>
      </c>
    </row>
    <row r="168" spans="1:21">
      <c r="A168">
        <f>'Input data'!A121</f>
        <v>2021</v>
      </c>
      <c r="C168" s="314">
        <f>'4A SWD Case 3'!BG91</f>
        <v>760.94658072685638</v>
      </c>
      <c r="D168" s="3">
        <f>'4B Biological treatment '!T221</f>
        <v>2.8989240112725678</v>
      </c>
      <c r="E168" s="178">
        <f>'4B Biological treatment '!U221</f>
        <v>20.571709922744311</v>
      </c>
      <c r="F168" s="178">
        <f>'4B Biological treatment '!W221</f>
        <v>1.2343025953646587</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15979.878195263984</v>
      </c>
      <c r="M168" s="772">
        <f t="shared" si="131"/>
        <v>60.877404236723926</v>
      </c>
      <c r="N168" s="771">
        <f t="shared" si="132"/>
        <v>814.63971294067471</v>
      </c>
      <c r="O168" s="773">
        <f t="shared" si="133"/>
        <v>275.36438549102087</v>
      </c>
      <c r="P168" s="771">
        <f t="shared" si="134"/>
        <v>4201.6401192926323</v>
      </c>
      <c r="Q168" s="519">
        <f t="shared" si="135"/>
        <v>15979.878195263984</v>
      </c>
      <c r="R168" s="521">
        <f t="shared" si="136"/>
        <v>875.51711717739863</v>
      </c>
      <c r="S168" s="518">
        <f t="shared" si="137"/>
        <v>275.36438549102087</v>
      </c>
      <c r="T168" s="519">
        <f t="shared" si="138"/>
        <v>4201.6401192926323</v>
      </c>
      <c r="U168" s="519">
        <f t="shared" si="139"/>
        <v>21332.399817225036</v>
      </c>
    </row>
    <row r="169" spans="1:21">
      <c r="A169">
        <f>'Input data'!A122</f>
        <v>2022</v>
      </c>
      <c r="C169" s="314">
        <f>'4A SWD Case 3'!BG92</f>
        <v>734.97977606930203</v>
      </c>
      <c r="D169" s="3">
        <f>'4B Biological treatment '!T222</f>
        <v>3.8333785145682127</v>
      </c>
      <c r="E169" s="178">
        <f>'4B Biological treatment '!U222</f>
        <v>19.166892572841064</v>
      </c>
      <c r="F169" s="178">
        <f>'4B Biological treatment '!W222</f>
        <v>1.1500135543704637</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15434.575297455343</v>
      </c>
      <c r="M169" s="772">
        <f t="shared" si="131"/>
        <v>80.500948805932467</v>
      </c>
      <c r="N169" s="771">
        <f t="shared" si="132"/>
        <v>759.00894588450615</v>
      </c>
      <c r="O169" s="773">
        <f t="shared" si="133"/>
        <v>229.17353377197622</v>
      </c>
      <c r="P169" s="771">
        <f t="shared" si="134"/>
        <v>4336.1329960221574</v>
      </c>
      <c r="Q169" s="519">
        <f t="shared" si="135"/>
        <v>15434.575297455343</v>
      </c>
      <c r="R169" s="521">
        <f t="shared" si="136"/>
        <v>839.50989469043861</v>
      </c>
      <c r="S169" s="518">
        <f t="shared" si="137"/>
        <v>229.17353377197622</v>
      </c>
      <c r="T169" s="519">
        <f t="shared" si="138"/>
        <v>4336.1329960221574</v>
      </c>
      <c r="U169" s="519">
        <f t="shared" si="139"/>
        <v>20839.391721939915</v>
      </c>
    </row>
    <row r="170" spans="1:21">
      <c r="A170">
        <f>'Input data'!A123</f>
        <v>2023</v>
      </c>
      <c r="C170" s="314">
        <f>'4A SWD Case 3'!BG93</f>
        <v>707.38968973008696</v>
      </c>
      <c r="D170" s="3">
        <f>'4B Biological treatment '!T223</f>
        <v>3.8559760365389284</v>
      </c>
      <c r="E170" s="178">
        <f>'4B Biological treatment '!U223</f>
        <v>19.27988018269464</v>
      </c>
      <c r="F170" s="178">
        <f>'4B Biological treatment '!W223</f>
        <v>1.1567928109616783</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14855.183484331827</v>
      </c>
      <c r="M170" s="772">
        <f t="shared" si="131"/>
        <v>80.975496767317495</v>
      </c>
      <c r="N170" s="771">
        <f t="shared" si="132"/>
        <v>763.48325523470771</v>
      </c>
      <c r="O170" s="773">
        <f t="shared" si="133"/>
        <v>217.34002107405581</v>
      </c>
      <c r="P170" s="771">
        <f t="shared" si="134"/>
        <v>4473.1659836582639</v>
      </c>
      <c r="Q170" s="519">
        <f t="shared" si="135"/>
        <v>14855.183484331827</v>
      </c>
      <c r="R170" s="521">
        <f t="shared" si="136"/>
        <v>844.45875200202522</v>
      </c>
      <c r="S170" s="518">
        <f t="shared" si="137"/>
        <v>217.34002107405581</v>
      </c>
      <c r="T170" s="519">
        <f t="shared" si="138"/>
        <v>4473.1659836582639</v>
      </c>
      <c r="U170" s="519">
        <f t="shared" si="139"/>
        <v>20390.14824106617</v>
      </c>
    </row>
    <row r="171" spans="1:21">
      <c r="A171">
        <f>'Input data'!A124</f>
        <v>2024</v>
      </c>
      <c r="C171" s="314">
        <f>'4A SWD Case 3'!BG94</f>
        <v>680.9239180638391</v>
      </c>
      <c r="D171" s="3">
        <f>'4B Biological treatment '!T224</f>
        <v>3.8815961225189284</v>
      </c>
      <c r="E171" s="178">
        <f>'4B Biological treatment '!U224</f>
        <v>19.407980612594638</v>
      </c>
      <c r="F171" s="178">
        <f>'4B Biological treatment '!W224</f>
        <v>1.1644788367556784</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14299.40227934062</v>
      </c>
      <c r="M171" s="772">
        <f t="shared" si="131"/>
        <v>81.513518572897496</v>
      </c>
      <c r="N171" s="771">
        <f t="shared" si="132"/>
        <v>768.55603225874768</v>
      </c>
      <c r="O171" s="773">
        <f t="shared" si="133"/>
        <v>205.3038143886219</v>
      </c>
      <c r="P171" s="771">
        <f t="shared" si="134"/>
        <v>4612.7797461997052</v>
      </c>
      <c r="Q171" s="519">
        <f t="shared" si="135"/>
        <v>14299.40227934062</v>
      </c>
      <c r="R171" s="521">
        <f t="shared" si="136"/>
        <v>850.06955083164519</v>
      </c>
      <c r="S171" s="518">
        <f t="shared" si="137"/>
        <v>205.3038143886219</v>
      </c>
      <c r="T171" s="519">
        <f t="shared" si="138"/>
        <v>4612.7797461997052</v>
      </c>
      <c r="U171" s="519">
        <f t="shared" si="139"/>
        <v>19967.555390760594</v>
      </c>
    </row>
    <row r="172" spans="1:21">
      <c r="A172">
        <f>'Input data'!A125</f>
        <v>2025</v>
      </c>
      <c r="C172" s="314">
        <f>'4A SWD Case 3'!BG95</f>
        <v>655.50155890732412</v>
      </c>
      <c r="D172" s="3">
        <f>'4B Biological treatment '!T225</f>
        <v>3.9060562554179761</v>
      </c>
      <c r="E172" s="178">
        <f>'4B Biological treatment '!U225</f>
        <v>19.530281277089877</v>
      </c>
      <c r="F172" s="178">
        <f>'4B Biological treatment '!W225</f>
        <v>1.1718168766253927</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13765.532737053807</v>
      </c>
      <c r="M172" s="772">
        <f t="shared" si="131"/>
        <v>82.027181363777501</v>
      </c>
      <c r="N172" s="771">
        <f t="shared" si="132"/>
        <v>773.39913857275906</v>
      </c>
      <c r="O172" s="773">
        <f t="shared" si="133"/>
        <v>193.05753067442905</v>
      </c>
      <c r="P172" s="771">
        <f t="shared" si="134"/>
        <v>4755.015547311632</v>
      </c>
      <c r="Q172" s="519">
        <f t="shared" si="135"/>
        <v>13765.532737053807</v>
      </c>
      <c r="R172" s="521">
        <f t="shared" si="136"/>
        <v>855.42631993653652</v>
      </c>
      <c r="S172" s="518">
        <f t="shared" si="137"/>
        <v>193.05753067442905</v>
      </c>
      <c r="T172" s="519">
        <f t="shared" si="138"/>
        <v>4755.015547311632</v>
      </c>
      <c r="U172" s="519">
        <f t="shared" si="139"/>
        <v>19569.032134976405</v>
      </c>
    </row>
    <row r="173" spans="1:21">
      <c r="A173">
        <f>'Input data'!A126</f>
        <v>2026</v>
      </c>
      <c r="C173" s="314">
        <f>'4A SWD Case 3'!BG96</f>
        <v>631.04518202378813</v>
      </c>
      <c r="D173" s="3">
        <f>'4B Biological treatment '!T226</f>
        <v>3.9281800328661798</v>
      </c>
      <c r="E173" s="178">
        <f>'4B Biological treatment '!U226</f>
        <v>19.640900164330898</v>
      </c>
      <c r="F173" s="178">
        <f>'4B Biological treatment '!W226</f>
        <v>1.1784540098598537</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13251.948822499551</v>
      </c>
      <c r="M173" s="772">
        <f t="shared" si="131"/>
        <v>82.491780690189771</v>
      </c>
      <c r="N173" s="771">
        <f t="shared" si="132"/>
        <v>777.77964650750346</v>
      </c>
      <c r="O173" s="773">
        <f t="shared" si="133"/>
        <v>180.70037146955198</v>
      </c>
      <c r="P173" s="771">
        <f t="shared" si="134"/>
        <v>4891.8365725125823</v>
      </c>
      <c r="Q173" s="519">
        <f t="shared" si="135"/>
        <v>13251.948822499551</v>
      </c>
      <c r="R173" s="521">
        <f t="shared" si="136"/>
        <v>860.27142719769324</v>
      </c>
      <c r="S173" s="518">
        <f t="shared" si="137"/>
        <v>180.70037146955198</v>
      </c>
      <c r="T173" s="519">
        <f t="shared" si="138"/>
        <v>4891.8365725125823</v>
      </c>
      <c r="U173" s="519">
        <f t="shared" si="139"/>
        <v>19184.757193679376</v>
      </c>
    </row>
    <row r="174" spans="1:21">
      <c r="A174">
        <f>'Input data'!A127</f>
        <v>2027</v>
      </c>
      <c r="C174" s="314">
        <f>'4A SWD Case 3'!BG97</f>
        <v>607.47684542019977</v>
      </c>
      <c r="D174" s="3">
        <f>'4B Biological treatment '!T227</f>
        <v>3.9495986142640893</v>
      </c>
      <c r="E174" s="178">
        <f>'4B Biological treatment '!U227</f>
        <v>19.747993071320444</v>
      </c>
      <c r="F174" s="178">
        <f>'4B Biological treatment '!W227</f>
        <v>1.1848795842792266</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12757.013753824194</v>
      </c>
      <c r="M174" s="772">
        <f t="shared" si="131"/>
        <v>82.94157089954588</v>
      </c>
      <c r="N174" s="771">
        <f t="shared" si="132"/>
        <v>782.02052562428958</v>
      </c>
      <c r="O174" s="773">
        <f t="shared" si="133"/>
        <v>168.10228643963038</v>
      </c>
      <c r="P174" s="771">
        <f t="shared" si="134"/>
        <v>5030.8909891052281</v>
      </c>
      <c r="Q174" s="519">
        <f t="shared" si="135"/>
        <v>12757.013753824194</v>
      </c>
      <c r="R174" s="521">
        <f t="shared" si="136"/>
        <v>864.9620965238355</v>
      </c>
      <c r="S174" s="518">
        <f t="shared" si="137"/>
        <v>168.10228643963038</v>
      </c>
      <c r="T174" s="519">
        <f t="shared" si="138"/>
        <v>5030.8909891052281</v>
      </c>
      <c r="U174" s="519">
        <f t="shared" si="139"/>
        <v>18820.969125892887</v>
      </c>
    </row>
    <row r="175" spans="1:21">
      <c r="A175">
        <f>'Input data'!A128</f>
        <v>2028</v>
      </c>
      <c r="C175" s="314">
        <f>'4A SWD Case 3'!BG98</f>
        <v>584.72601977690169</v>
      </c>
      <c r="D175" s="3">
        <f>'4B Biological treatment '!T228</f>
        <v>3.9699022044932608</v>
      </c>
      <c r="E175" s="178">
        <f>'4B Biological treatment '!U228</f>
        <v>19.849511022466302</v>
      </c>
      <c r="F175" s="178">
        <f>'4B Biological treatment '!W228</f>
        <v>1.1909706613479782</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12279.246415314936</v>
      </c>
      <c r="M175" s="772">
        <f t="shared" si="131"/>
        <v>83.367946294358475</v>
      </c>
      <c r="N175" s="771">
        <f t="shared" si="132"/>
        <v>786.04063648966553</v>
      </c>
      <c r="O175" s="773">
        <f t="shared" si="133"/>
        <v>155.25457728774188</v>
      </c>
      <c r="P175" s="771">
        <f t="shared" si="134"/>
        <v>5172.2095138882814</v>
      </c>
      <c r="Q175" s="519">
        <f t="shared" si="135"/>
        <v>12279.246415314936</v>
      </c>
      <c r="R175" s="521">
        <f t="shared" si="136"/>
        <v>869.40858278402402</v>
      </c>
      <c r="S175" s="518">
        <f t="shared" si="137"/>
        <v>155.25457728774188</v>
      </c>
      <c r="T175" s="519">
        <f t="shared" si="138"/>
        <v>5172.2095138882814</v>
      </c>
      <c r="U175" s="519">
        <f t="shared" si="139"/>
        <v>18476.119089274984</v>
      </c>
    </row>
    <row r="176" spans="1:21">
      <c r="A176">
        <f>'Input data'!A129</f>
        <v>2029</v>
      </c>
      <c r="C176" s="314">
        <f>'4A SWD Case 3'!BG99</f>
        <v>562.72511324229038</v>
      </c>
      <c r="D176" s="3">
        <f>'4B Biological treatment '!T229</f>
        <v>3.995176262534907</v>
      </c>
      <c r="E176" s="178">
        <f>'4B Biological treatment '!U229</f>
        <v>19.975881312674531</v>
      </c>
      <c r="F176" s="178">
        <f>'4B Biological treatment '!W229</f>
        <v>1.198552878760472</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11817.227378088099</v>
      </c>
      <c r="M176" s="772">
        <f t="shared" si="131"/>
        <v>83.89870151323305</v>
      </c>
      <c r="N176" s="771">
        <f t="shared" si="132"/>
        <v>791.04489998191139</v>
      </c>
      <c r="O176" s="773">
        <f t="shared" si="133"/>
        <v>142.1481547216269</v>
      </c>
      <c r="P176" s="771">
        <f t="shared" si="134"/>
        <v>5315.8232520302154</v>
      </c>
      <c r="Q176" s="519">
        <f t="shared" si="135"/>
        <v>11817.227378088099</v>
      </c>
      <c r="R176" s="521">
        <f t="shared" si="136"/>
        <v>874.94360149514443</v>
      </c>
      <c r="S176" s="518">
        <f t="shared" si="137"/>
        <v>142.1481547216269</v>
      </c>
      <c r="T176" s="519">
        <f t="shared" si="138"/>
        <v>5315.8232520302154</v>
      </c>
      <c r="U176" s="519">
        <f t="shared" si="139"/>
        <v>18150.142386335086</v>
      </c>
    </row>
    <row r="177" spans="1:21">
      <c r="A177">
        <f>'Input data'!A130</f>
        <v>2030</v>
      </c>
      <c r="C177" s="314">
        <f>'4A SWD Case 3'!BG100</f>
        <v>541.4093095933481</v>
      </c>
      <c r="D177" s="3">
        <f>'4B Biological treatment '!T230</f>
        <v>4.0202017957260807</v>
      </c>
      <c r="E177" s="178">
        <f>'4B Biological treatment '!U230</f>
        <v>20.101008978630404</v>
      </c>
      <c r="F177" s="178">
        <f>'4B Biological treatment '!W230</f>
        <v>1.2060605387178243</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11369.59550146031</v>
      </c>
      <c r="M177" s="772">
        <f t="shared" si="131"/>
        <v>84.424237710247695</v>
      </c>
      <c r="N177" s="771">
        <f t="shared" si="132"/>
        <v>795.99995555376404</v>
      </c>
      <c r="O177" s="773">
        <f t="shared" si="133"/>
        <v>128.77351562592733</v>
      </c>
      <c r="P177" s="771">
        <f t="shared" si="134"/>
        <v>5461.7637017393099</v>
      </c>
      <c r="Q177" s="519">
        <f t="shared" si="135"/>
        <v>11369.59550146031</v>
      </c>
      <c r="R177" s="521">
        <f t="shared" si="136"/>
        <v>880.42419326401171</v>
      </c>
      <c r="S177" s="518">
        <f t="shared" si="137"/>
        <v>128.77351562592733</v>
      </c>
      <c r="T177" s="519">
        <f t="shared" si="138"/>
        <v>5461.7637017393099</v>
      </c>
      <c r="U177" s="519">
        <f t="shared" si="139"/>
        <v>17840.55691208956</v>
      </c>
    </row>
    <row r="178" spans="1:21">
      <c r="A178">
        <f>'Input data'!A131</f>
        <v>2031</v>
      </c>
      <c r="C178" s="314">
        <f>'4A SWD Case 3'!BG101</f>
        <v>520.71641310489269</v>
      </c>
      <c r="D178" s="3">
        <f>'4B Biological treatment '!T231</f>
        <v>4.0475128190492242</v>
      </c>
      <c r="E178" s="178">
        <f>'4B Biological treatment '!U231</f>
        <v>20.237564095246118</v>
      </c>
      <c r="F178" s="178">
        <f>'4B Biological treatment '!W231</f>
        <v>1.2142538457147669</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10935.044675202747</v>
      </c>
      <c r="M178" s="772">
        <f t="shared" si="131"/>
        <v>84.997769200033702</v>
      </c>
      <c r="N178" s="771">
        <f t="shared" si="132"/>
        <v>801.40753817174618</v>
      </c>
      <c r="O178" s="773">
        <f t="shared" si="133"/>
        <v>113.56951234567336</v>
      </c>
      <c r="P178" s="771">
        <f t="shared" si="134"/>
        <v>5508.3758769951792</v>
      </c>
      <c r="Q178" s="519">
        <f t="shared" si="135"/>
        <v>10935.044675202747</v>
      </c>
      <c r="R178" s="521">
        <f t="shared" si="136"/>
        <v>886.40530737177983</v>
      </c>
      <c r="S178" s="518">
        <f t="shared" si="137"/>
        <v>113.56951234567336</v>
      </c>
      <c r="T178" s="519">
        <f t="shared" si="138"/>
        <v>5508.3758769951792</v>
      </c>
      <c r="U178" s="519">
        <f t="shared" si="139"/>
        <v>17443.39537191538</v>
      </c>
    </row>
    <row r="179" spans="1:21">
      <c r="A179">
        <f>'Input data'!A132</f>
        <v>2032</v>
      </c>
      <c r="C179" s="314">
        <f>'4A SWD Case 3'!BG102</f>
        <v>500.46112990148498</v>
      </c>
      <c r="D179" s="3">
        <f>'4B Biological treatment '!T232</f>
        <v>4.0796184839764713</v>
      </c>
      <c r="E179" s="178">
        <f>'4B Biological treatment '!U232</f>
        <v>20.398092419882357</v>
      </c>
      <c r="F179" s="178">
        <f>'4B Biological treatment '!W232</f>
        <v>1.2238855451929413</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10509.683727931184</v>
      </c>
      <c r="M179" s="772">
        <f t="shared" si="131"/>
        <v>85.671988163505901</v>
      </c>
      <c r="N179" s="771">
        <f t="shared" si="132"/>
        <v>807.76445982734128</v>
      </c>
      <c r="O179" s="773">
        <f t="shared" si="133"/>
        <v>98.459981517794233</v>
      </c>
      <c r="P179" s="771">
        <f t="shared" si="134"/>
        <v>5555.3858532180511</v>
      </c>
      <c r="Q179" s="519">
        <f t="shared" si="135"/>
        <v>10509.683727931184</v>
      </c>
      <c r="R179" s="521">
        <f t="shared" si="136"/>
        <v>893.43644799084723</v>
      </c>
      <c r="S179" s="518">
        <f t="shared" si="137"/>
        <v>98.459981517794233</v>
      </c>
      <c r="T179" s="519">
        <f t="shared" si="138"/>
        <v>5555.3858532180511</v>
      </c>
      <c r="U179" s="519">
        <f t="shared" si="139"/>
        <v>17056.966010657874</v>
      </c>
    </row>
    <row r="180" spans="1:21">
      <c r="A180">
        <f>'Input data'!A133</f>
        <v>2033</v>
      </c>
      <c r="C180" s="314">
        <f>'4A SWD Case 3'!BG103</f>
        <v>480.61981562722792</v>
      </c>
      <c r="D180" s="3">
        <f>'4B Biological treatment '!T233</f>
        <v>4.1142729528094302</v>
      </c>
      <c r="E180" s="178">
        <f>'4B Biological treatment '!U233</f>
        <v>20.571364764047146</v>
      </c>
      <c r="F180" s="178">
        <f>'4B Biological treatment '!W233</f>
        <v>1.2342818858428288</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10093.016128171786</v>
      </c>
      <c r="M180" s="772">
        <f t="shared" si="131"/>
        <v>86.399732008998029</v>
      </c>
      <c r="N180" s="771">
        <f t="shared" si="132"/>
        <v>814.62604465626691</v>
      </c>
      <c r="O180" s="773">
        <f t="shared" si="133"/>
        <v>98.168119205727166</v>
      </c>
      <c r="P180" s="771">
        <f t="shared" si="134"/>
        <v>5602.7970253494477</v>
      </c>
      <c r="Q180" s="519">
        <f t="shared" si="135"/>
        <v>10093.016128171786</v>
      </c>
      <c r="R180" s="521">
        <f t="shared" si="136"/>
        <v>901.02577666526497</v>
      </c>
      <c r="S180" s="518">
        <f t="shared" si="137"/>
        <v>98.168119205727166</v>
      </c>
      <c r="T180" s="519">
        <f t="shared" si="138"/>
        <v>5602.7970253494477</v>
      </c>
      <c r="U180" s="519">
        <f t="shared" si="139"/>
        <v>16695.007049392225</v>
      </c>
    </row>
    <row r="181" spans="1:21">
      <c r="A181">
        <f>'Input data'!A134</f>
        <v>2034</v>
      </c>
      <c r="C181" s="314">
        <f>'4A SWD Case 3'!BG104</f>
        <v>461.75776356131274</v>
      </c>
      <c r="D181" s="3">
        <f>'4B Biological treatment '!T234</f>
        <v>4.1547165756786253</v>
      </c>
      <c r="E181" s="178">
        <f>'4B Biological treatment '!U234</f>
        <v>20.773582878393128</v>
      </c>
      <c r="F181" s="178">
        <f>'4B Biological treatment '!W234</f>
        <v>1.2464149727035876</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9696.9130347875671</v>
      </c>
      <c r="M181" s="772">
        <f t="shared" si="131"/>
        <v>87.249048089251133</v>
      </c>
      <c r="N181" s="771">
        <f t="shared" si="132"/>
        <v>822.63388198436792</v>
      </c>
      <c r="O181" s="773">
        <f t="shared" si="133"/>
        <v>97.880430060004471</v>
      </c>
      <c r="P181" s="771">
        <f t="shared" si="134"/>
        <v>5650.6128173042498</v>
      </c>
      <c r="Q181" s="519">
        <f t="shared" si="135"/>
        <v>9696.9130347875671</v>
      </c>
      <c r="R181" s="521">
        <f t="shared" si="136"/>
        <v>909.88293007361904</v>
      </c>
      <c r="S181" s="518">
        <f t="shared" si="137"/>
        <v>97.880430060004471</v>
      </c>
      <c r="T181" s="519">
        <f t="shared" si="138"/>
        <v>5650.6128173042498</v>
      </c>
      <c r="U181" s="519">
        <f t="shared" si="139"/>
        <v>16355.289212225442</v>
      </c>
    </row>
    <row r="182" spans="1:21">
      <c r="A182">
        <f>'Input data'!A135</f>
        <v>2035</v>
      </c>
      <c r="C182" s="314">
        <f>'4A SWD Case 3'!BG105</f>
        <v>443.82723065829924</v>
      </c>
      <c r="D182" s="3">
        <f>'4B Biological treatment '!T235</f>
        <v>4.1873323602781536</v>
      </c>
      <c r="E182" s="178">
        <f>'4B Biological treatment '!U235</f>
        <v>20.936661801390766</v>
      </c>
      <c r="F182" s="178">
        <f>'4B Biological treatment '!W235</f>
        <v>1.2561997080834459</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9320.371843824285</v>
      </c>
      <c r="M182" s="772">
        <f t="shared" si="131"/>
        <v>87.933979565841227</v>
      </c>
      <c r="N182" s="771">
        <f t="shared" si="132"/>
        <v>829.09180733507435</v>
      </c>
      <c r="O182" s="773">
        <f t="shared" si="133"/>
        <v>97.596835379073497</v>
      </c>
      <c r="P182" s="771">
        <f t="shared" si="134"/>
        <v>5698.8366822179532</v>
      </c>
      <c r="Q182" s="519">
        <f t="shared" si="135"/>
        <v>9320.371843824285</v>
      </c>
      <c r="R182" s="521">
        <f t="shared" si="136"/>
        <v>917.02578690091559</v>
      </c>
      <c r="S182" s="518">
        <f t="shared" si="137"/>
        <v>97.596835379073497</v>
      </c>
      <c r="T182" s="519">
        <f t="shared" si="138"/>
        <v>5698.8366822179532</v>
      </c>
      <c r="U182" s="519">
        <f t="shared" si="139"/>
        <v>16033.831148322228</v>
      </c>
    </row>
    <row r="183" spans="1:21">
      <c r="A183">
        <f>'Input data'!A136</f>
        <v>2036</v>
      </c>
      <c r="C183" s="314">
        <f>'4A SWD Case 3'!BG106</f>
        <v>426.78280023197681</v>
      </c>
      <c r="D183" s="3">
        <f>'4B Biological treatment '!T236</f>
        <v>4.2189148978065463</v>
      </c>
      <c r="E183" s="178">
        <f>'4B Biological treatment '!U236</f>
        <v>21.09457448903273</v>
      </c>
      <c r="F183" s="178">
        <f>'4B Biological treatment '!W236</f>
        <v>1.2656744693419637</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8962.4388048715136</v>
      </c>
      <c r="M183" s="772">
        <f t="shared" si="131"/>
        <v>88.597212853937478</v>
      </c>
      <c r="N183" s="771">
        <f t="shared" si="132"/>
        <v>835.34514976569608</v>
      </c>
      <c r="O183" s="773">
        <f t="shared" si="133"/>
        <v>97.356613290882166</v>
      </c>
      <c r="P183" s="771">
        <f t="shared" si="134"/>
        <v>5740.5587570983689</v>
      </c>
      <c r="Q183" s="519">
        <f t="shared" si="135"/>
        <v>8962.4388048715136</v>
      </c>
      <c r="R183" s="521">
        <f t="shared" si="136"/>
        <v>923.94236261963351</v>
      </c>
      <c r="S183" s="518">
        <f t="shared" si="137"/>
        <v>97.356613290882166</v>
      </c>
      <c r="T183" s="519">
        <f t="shared" si="138"/>
        <v>5740.5587570983689</v>
      </c>
      <c r="U183" s="519">
        <f t="shared" si="139"/>
        <v>15724.296537880396</v>
      </c>
    </row>
    <row r="184" spans="1:21">
      <c r="A184">
        <f>'Input data'!A137</f>
        <v>2037</v>
      </c>
      <c r="C184" s="314">
        <f>'4A SWD Case 3'!BG107</f>
        <v>410.62577669983818</v>
      </c>
      <c r="D184" s="3">
        <f>'4B Biological treatment '!T237</f>
        <v>4.2542048947470272</v>
      </c>
      <c r="E184" s="178">
        <f>'4B Biological treatment '!U237</f>
        <v>21.271024473735132</v>
      </c>
      <c r="F184" s="178">
        <f>'4B Biological treatment '!W237</f>
        <v>1.2762614684241078</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8623.1413106966011</v>
      </c>
      <c r="M184" s="772">
        <f t="shared" si="131"/>
        <v>89.338302789687575</v>
      </c>
      <c r="N184" s="771">
        <f t="shared" si="132"/>
        <v>842.33256915991115</v>
      </c>
      <c r="O184" s="773">
        <f t="shared" si="133"/>
        <v>97.11930396370947</v>
      </c>
      <c r="P184" s="771">
        <f t="shared" si="134"/>
        <v>5782.5862858160108</v>
      </c>
      <c r="Q184" s="519">
        <f t="shared" si="135"/>
        <v>8623.1413106966011</v>
      </c>
      <c r="R184" s="521">
        <f t="shared" si="136"/>
        <v>931.67087194959868</v>
      </c>
      <c r="S184" s="518">
        <f t="shared" si="137"/>
        <v>97.11930396370947</v>
      </c>
      <c r="T184" s="519">
        <f t="shared" si="138"/>
        <v>5782.5862858160108</v>
      </c>
      <c r="U184" s="519">
        <f t="shared" si="139"/>
        <v>15434.517772425919</v>
      </c>
    </row>
    <row r="185" spans="1:21">
      <c r="A185">
        <f>'Input data'!A138</f>
        <v>2038</v>
      </c>
      <c r="C185" s="314">
        <f>'4A SWD Case 3'!BG108</f>
        <v>395.9726099379514</v>
      </c>
      <c r="D185" s="3">
        <f>'4B Biological treatment '!T238</f>
        <v>4.2892333399063185</v>
      </c>
      <c r="E185" s="178">
        <f>'4B Biological treatment '!U238</f>
        <v>21.446166699531588</v>
      </c>
      <c r="F185" s="178">
        <f>'4B Biological treatment '!W238</f>
        <v>1.2867700019718953</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8315.4248086969801</v>
      </c>
      <c r="M185" s="772">
        <f t="shared" si="131"/>
        <v>90.073900138032684</v>
      </c>
      <c r="N185" s="771">
        <f t="shared" si="132"/>
        <v>849.26820130145097</v>
      </c>
      <c r="O185" s="773">
        <f t="shared" si="133"/>
        <v>96.88486093946301</v>
      </c>
      <c r="P185" s="771">
        <f t="shared" si="134"/>
        <v>5824.9215046462123</v>
      </c>
      <c r="Q185" s="519">
        <f t="shared" si="135"/>
        <v>8315.4248086969801</v>
      </c>
      <c r="R185" s="521">
        <f t="shared" si="136"/>
        <v>939.34210143948371</v>
      </c>
      <c r="S185" s="518">
        <f t="shared" si="137"/>
        <v>96.88486093946301</v>
      </c>
      <c r="T185" s="519">
        <f t="shared" si="138"/>
        <v>5824.9215046462123</v>
      </c>
      <c r="U185" s="519">
        <f t="shared" si="139"/>
        <v>15176.573275722139</v>
      </c>
    </row>
    <row r="186" spans="1:21">
      <c r="A186">
        <f>'Input data'!A139</f>
        <v>2039</v>
      </c>
      <c r="C186" s="314">
        <f>'4A SWD Case 3'!BG109</f>
        <v>382.4931886698829</v>
      </c>
      <c r="D186" s="3">
        <f>'4B Biological treatment '!T239</f>
        <v>4.3260758449547057</v>
      </c>
      <c r="E186" s="178">
        <f>'4B Biological treatment '!U239</f>
        <v>21.630379224773527</v>
      </c>
      <c r="F186" s="178">
        <f>'4B Biological treatment '!W239</f>
        <v>1.2978227534864115</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8032.3569620675407</v>
      </c>
      <c r="M186" s="772">
        <f t="shared" si="131"/>
        <v>90.847592744048825</v>
      </c>
      <c r="N186" s="771">
        <f t="shared" si="132"/>
        <v>856.56301730103166</v>
      </c>
      <c r="O186" s="773">
        <f t="shared" si="133"/>
        <v>96.653238724891821</v>
      </c>
      <c r="P186" s="771">
        <f t="shared" si="134"/>
        <v>5867.5666662364183</v>
      </c>
      <c r="Q186" s="519">
        <f t="shared" si="135"/>
        <v>8032.3569620675407</v>
      </c>
      <c r="R186" s="521">
        <f t="shared" si="136"/>
        <v>947.41061004508049</v>
      </c>
      <c r="S186" s="518">
        <f t="shared" si="137"/>
        <v>96.653238724891821</v>
      </c>
      <c r="T186" s="519">
        <f t="shared" si="138"/>
        <v>5867.5666662364183</v>
      </c>
      <c r="U186" s="519">
        <f t="shared" si="139"/>
        <v>14943.987477073932</v>
      </c>
    </row>
    <row r="187" spans="1:21">
      <c r="A187">
        <f>'Input data'!A140</f>
        <v>2040</v>
      </c>
      <c r="C187" s="314">
        <f>'4A SWD Case 3'!BG110</f>
        <v>370.13701150852546</v>
      </c>
      <c r="D187" s="3">
        <f>'4B Biological treatment '!T240</f>
        <v>4.3633847411532045</v>
      </c>
      <c r="E187" s="178">
        <f>'4B Biological treatment '!U240</f>
        <v>21.816923705766019</v>
      </c>
      <c r="F187" s="178">
        <f>'4B Biological treatment '!W240</f>
        <v>1.3090154223459609</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7772.8772416790343</v>
      </c>
      <c r="M187" s="772">
        <f t="shared" si="131"/>
        <v>91.631079564217288</v>
      </c>
      <c r="N187" s="771">
        <f t="shared" si="132"/>
        <v>863.95017874833434</v>
      </c>
      <c r="O187" s="773">
        <f t="shared" si="133"/>
        <v>96.424392766634725</v>
      </c>
      <c r="P187" s="771">
        <f t="shared" si="134"/>
        <v>5910.5240397260632</v>
      </c>
      <c r="Q187" s="519">
        <f t="shared" si="135"/>
        <v>7772.8772416790343</v>
      </c>
      <c r="R187" s="521">
        <f t="shared" si="136"/>
        <v>955.58125831255165</v>
      </c>
      <c r="S187" s="518">
        <f t="shared" si="137"/>
        <v>96.424392766634725</v>
      </c>
      <c r="T187" s="519">
        <f t="shared" si="138"/>
        <v>5910.5240397260632</v>
      </c>
      <c r="U187" s="519">
        <f t="shared" si="139"/>
        <v>14735.406932484282</v>
      </c>
    </row>
    <row r="188" spans="1:21">
      <c r="A188">
        <f>'Input data'!A141</f>
        <v>2041</v>
      </c>
      <c r="C188" s="314">
        <f>'4A SWD Case 3'!BG111</f>
        <v>358.85543293799697</v>
      </c>
      <c r="D188" s="3">
        <f>'4B Biological treatment '!T241</f>
        <v>4.404428261320783</v>
      </c>
      <c r="E188" s="178">
        <f>'4B Biological treatment '!U241</f>
        <v>22.022141306603913</v>
      </c>
      <c r="F188" s="178">
        <f>'4B Biological treatment '!W241</f>
        <v>1.3213284783962349</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7535.9640916979361</v>
      </c>
      <c r="M188" s="772">
        <f t="shared" si="131"/>
        <v>92.492993487736442</v>
      </c>
      <c r="N188" s="771">
        <f t="shared" si="132"/>
        <v>872.07679574151496</v>
      </c>
      <c r="O188" s="773">
        <f t="shared" si="133"/>
        <v>96.232289152450349</v>
      </c>
      <c r="P188" s="771">
        <f t="shared" si="134"/>
        <v>5947.2338879558556</v>
      </c>
      <c r="Q188" s="519">
        <f t="shared" si="135"/>
        <v>7535.9640916979361</v>
      </c>
      <c r="R188" s="521">
        <f t="shared" si="136"/>
        <v>964.56978922925146</v>
      </c>
      <c r="S188" s="518">
        <f t="shared" si="137"/>
        <v>96.232289152450349</v>
      </c>
      <c r="T188" s="519">
        <f t="shared" si="138"/>
        <v>5947.2338879558556</v>
      </c>
      <c r="U188" s="519">
        <f t="shared" si="139"/>
        <v>14544.000058035494</v>
      </c>
    </row>
    <row r="189" spans="1:21">
      <c r="A189">
        <f>'Input data'!A142</f>
        <v>2042</v>
      </c>
      <c r="C189" s="314">
        <f>'4A SWD Case 3'!BG112</f>
        <v>348.38570874293976</v>
      </c>
      <c r="D189" s="3">
        <f>'4B Biological treatment '!T242</f>
        <v>4.4442850812042449</v>
      </c>
      <c r="E189" s="178">
        <f>'4B Biological treatment '!U242</f>
        <v>22.221425406021226</v>
      </c>
      <c r="F189" s="178">
        <f>'4B Biological treatment '!W242</f>
        <v>1.3332855243612733</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7316.0998836017352</v>
      </c>
      <c r="M189" s="772">
        <f t="shared" si="131"/>
        <v>93.329986705289144</v>
      </c>
      <c r="N189" s="771">
        <f t="shared" si="132"/>
        <v>879.96844607844048</v>
      </c>
      <c r="O189" s="773">
        <f t="shared" si="133"/>
        <v>96.042128189602451</v>
      </c>
      <c r="P189" s="771">
        <f t="shared" si="134"/>
        <v>5984.171738465644</v>
      </c>
      <c r="Q189" s="519">
        <f t="shared" si="135"/>
        <v>7316.0998836017352</v>
      </c>
      <c r="R189" s="521">
        <f t="shared" si="136"/>
        <v>973.2984327837296</v>
      </c>
      <c r="S189" s="518">
        <f t="shared" si="137"/>
        <v>96.042128189602451</v>
      </c>
      <c r="T189" s="519">
        <f t="shared" si="138"/>
        <v>5984.171738465644</v>
      </c>
      <c r="U189" s="519">
        <f t="shared" si="139"/>
        <v>14369.612183040712</v>
      </c>
    </row>
    <row r="190" spans="1:21">
      <c r="A190">
        <f>'Input data'!A143</f>
        <v>2043</v>
      </c>
      <c r="C190" s="314">
        <f>'4A SWD Case 3'!BG113</f>
        <v>338.69026430176086</v>
      </c>
      <c r="D190" s="3">
        <f>'4B Biological treatment '!T243</f>
        <v>4.4850160379714179</v>
      </c>
      <c r="E190" s="178">
        <f>'4B Biological treatment '!U243</f>
        <v>22.425080189857088</v>
      </c>
      <c r="F190" s="178">
        <f>'4B Biological treatment '!W243</f>
        <v>1.3455048113914252</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7112.4955503369783</v>
      </c>
      <c r="M190" s="772">
        <f t="shared" si="131"/>
        <v>94.185336797399771</v>
      </c>
      <c r="N190" s="771">
        <f t="shared" si="132"/>
        <v>888.03317551834061</v>
      </c>
      <c r="O190" s="773">
        <f t="shared" si="133"/>
        <v>95.853884148944275</v>
      </c>
      <c r="P190" s="771">
        <f t="shared" si="134"/>
        <v>6021.3390073615255</v>
      </c>
      <c r="Q190" s="519">
        <f t="shared" si="135"/>
        <v>7112.4955503369783</v>
      </c>
      <c r="R190" s="521">
        <f t="shared" si="136"/>
        <v>982.21851231574033</v>
      </c>
      <c r="S190" s="518">
        <f t="shared" si="137"/>
        <v>95.853884148944275</v>
      </c>
      <c r="T190" s="519">
        <f t="shared" si="138"/>
        <v>6021.3390073615255</v>
      </c>
      <c r="U190" s="519">
        <f t="shared" si="139"/>
        <v>14211.906954163189</v>
      </c>
    </row>
    <row r="191" spans="1:21">
      <c r="A191">
        <f>'Input data'!A144</f>
        <v>2044</v>
      </c>
      <c r="C191" s="314">
        <f>'4A SWD Case 3'!BG114</f>
        <v>329.73403636843676</v>
      </c>
      <c r="D191" s="3">
        <f>'4B Biological treatment '!T244</f>
        <v>4.5271758150916082</v>
      </c>
      <c r="E191" s="178">
        <f>'4B Biological treatment '!U244</f>
        <v>22.635879075458035</v>
      </c>
      <c r="F191" s="178">
        <f>'4B Biological treatment '!W244</f>
        <v>1.3581527445274821</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6924.4147637371716</v>
      </c>
      <c r="M191" s="772">
        <f t="shared" si="131"/>
        <v>95.070692116923766</v>
      </c>
      <c r="N191" s="771">
        <f t="shared" si="132"/>
        <v>896.38081138813823</v>
      </c>
      <c r="O191" s="773">
        <f t="shared" si="133"/>
        <v>95.667531744697669</v>
      </c>
      <c r="P191" s="771">
        <f t="shared" si="134"/>
        <v>6058.7371195449232</v>
      </c>
      <c r="Q191" s="519">
        <f t="shared" si="135"/>
        <v>6924.4147637371716</v>
      </c>
      <c r="R191" s="521">
        <f t="shared" si="136"/>
        <v>991.45150350506196</v>
      </c>
      <c r="S191" s="518">
        <f t="shared" si="137"/>
        <v>95.667531744697669</v>
      </c>
      <c r="T191" s="519">
        <f t="shared" si="138"/>
        <v>6058.7371195449232</v>
      </c>
      <c r="U191" s="519">
        <f t="shared" si="139"/>
        <v>14070.270918531854</v>
      </c>
    </row>
    <row r="192" spans="1:21">
      <c r="A192">
        <f>'Input data'!A145</f>
        <v>2045</v>
      </c>
      <c r="C192" s="314">
        <f>'4A SWD Case 3'!BG115</f>
        <v>321.48379539766222</v>
      </c>
      <c r="D192" s="3">
        <f>'4B Biological treatment '!T245</f>
        <v>4.5709925756248317</v>
      </c>
      <c r="E192" s="178">
        <f>'4B Biological treatment '!U245</f>
        <v>22.854962878124155</v>
      </c>
      <c r="F192" s="178">
        <f>'4B Biological treatment '!W245</f>
        <v>1.3712977726874493</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6751.159703350907</v>
      </c>
      <c r="M192" s="772">
        <f t="shared" si="131"/>
        <v>95.990844088121463</v>
      </c>
      <c r="N192" s="771">
        <f t="shared" si="132"/>
        <v>905.05652997371658</v>
      </c>
      <c r="O192" s="773">
        <f t="shared" si="133"/>
        <v>95.483046124931136</v>
      </c>
      <c r="P192" s="771">
        <f t="shared" si="134"/>
        <v>6096.3675087672291</v>
      </c>
      <c r="Q192" s="519">
        <f t="shared" si="135"/>
        <v>6751.159703350907</v>
      </c>
      <c r="R192" s="521">
        <f t="shared" si="136"/>
        <v>1001.047374061838</v>
      </c>
      <c r="S192" s="518">
        <f t="shared" si="137"/>
        <v>95.483046124931136</v>
      </c>
      <c r="T192" s="519">
        <f t="shared" si="138"/>
        <v>6096.3675087672291</v>
      </c>
      <c r="U192" s="519">
        <f t="shared" si="139"/>
        <v>13944.057632304906</v>
      </c>
    </row>
    <row r="193" spans="1:21">
      <c r="A193">
        <f>'Input data'!A146</f>
        <v>2046</v>
      </c>
      <c r="C193" s="314">
        <f>'4A SWD Case 3'!BG116</f>
        <v>313.90792896040386</v>
      </c>
      <c r="D193" s="3">
        <f>'4B Biological treatment '!T246</f>
        <v>4.6197126270540352</v>
      </c>
      <c r="E193" s="178">
        <f>'4B Biological treatment '!U246</f>
        <v>23.098563135270172</v>
      </c>
      <c r="F193" s="178">
        <f>'4B Biological treatment '!W246</f>
        <v>1.3859137881162105</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6592.0665081684811</v>
      </c>
      <c r="M193" s="772">
        <f t="shared" si="131"/>
        <v>97.013965168134746</v>
      </c>
      <c r="N193" s="771">
        <f t="shared" si="132"/>
        <v>914.70310015669884</v>
      </c>
      <c r="O193" s="773">
        <f t="shared" si="133"/>
        <v>95.332713212379986</v>
      </c>
      <c r="P193" s="771">
        <f t="shared" si="134"/>
        <v>6127.4884893628396</v>
      </c>
      <c r="Q193" s="519">
        <f t="shared" si="135"/>
        <v>6592.0665081684811</v>
      </c>
      <c r="R193" s="521">
        <f t="shared" si="136"/>
        <v>1011.7170653248336</v>
      </c>
      <c r="S193" s="518">
        <f t="shared" si="137"/>
        <v>95.332713212379986</v>
      </c>
      <c r="T193" s="519">
        <f t="shared" si="138"/>
        <v>6127.4884893628396</v>
      </c>
      <c r="U193" s="519">
        <f t="shared" si="139"/>
        <v>13826.604776068532</v>
      </c>
    </row>
    <row r="194" spans="1:21">
      <c r="A194">
        <f>'Input data'!A147</f>
        <v>2047</v>
      </c>
      <c r="C194" s="314">
        <f>'4A SWD Case 3'!BG117</f>
        <v>306.76247986388</v>
      </c>
      <c r="D194" s="3">
        <f>'4B Biological treatment '!T247</f>
        <v>4.6546875354231503</v>
      </c>
      <c r="E194" s="178">
        <f>'4B Biological treatment '!U247</f>
        <v>23.273437677115751</v>
      </c>
      <c r="F194" s="178">
        <f>'4B Biological treatment '!W247</f>
        <v>1.396406260626945</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6442.0120771414804</v>
      </c>
      <c r="M194" s="772">
        <f t="shared" si="131"/>
        <v>97.748438243886156</v>
      </c>
      <c r="N194" s="771">
        <f t="shared" si="132"/>
        <v>921.62813201378367</v>
      </c>
      <c r="O194" s="773">
        <f t="shared" si="133"/>
        <v>95.183612874715863</v>
      </c>
      <c r="P194" s="771">
        <f t="shared" si="134"/>
        <v>6158.7683375844354</v>
      </c>
      <c r="Q194" s="519">
        <f t="shared" si="135"/>
        <v>6442.0120771414804</v>
      </c>
      <c r="R194" s="521">
        <f t="shared" si="136"/>
        <v>1019.3765702576699</v>
      </c>
      <c r="S194" s="518">
        <f t="shared" si="137"/>
        <v>95.183612874715863</v>
      </c>
      <c r="T194" s="519">
        <f t="shared" si="138"/>
        <v>6158.7683375844354</v>
      </c>
      <c r="U194" s="519">
        <f t="shared" si="139"/>
        <v>13715.340597858301</v>
      </c>
    </row>
    <row r="195" spans="1:21">
      <c r="A195">
        <f>'Input data'!A148</f>
        <v>2048</v>
      </c>
      <c r="C195" s="314">
        <f>'4A SWD Case 3'!BG118</f>
        <v>300.01967153695102</v>
      </c>
      <c r="D195" s="3">
        <f>'4B Biological treatment '!T248</f>
        <v>4.6909095908847851</v>
      </c>
      <c r="E195" s="178">
        <f>'4B Biological treatment '!U248</f>
        <v>23.454547954423923</v>
      </c>
      <c r="F195" s="178">
        <f>'4B Biological treatment '!W248</f>
        <v>1.4072728772654353</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6300.4131022759711</v>
      </c>
      <c r="M195" s="772">
        <f t="shared" si="131"/>
        <v>98.509101408580491</v>
      </c>
      <c r="N195" s="771">
        <f t="shared" si="132"/>
        <v>928.80009899518734</v>
      </c>
      <c r="O195" s="773">
        <f t="shared" si="133"/>
        <v>95.035731924294083</v>
      </c>
      <c r="P195" s="771">
        <f t="shared" si="134"/>
        <v>6190.2078644258199</v>
      </c>
      <c r="Q195" s="519">
        <f t="shared" si="135"/>
        <v>6300.4131022759711</v>
      </c>
      <c r="R195" s="521">
        <f t="shared" si="136"/>
        <v>1027.3092004037678</v>
      </c>
      <c r="S195" s="518">
        <f t="shared" si="137"/>
        <v>95.035731924294083</v>
      </c>
      <c r="T195" s="519">
        <f t="shared" si="138"/>
        <v>6190.2078644258199</v>
      </c>
      <c r="U195" s="519">
        <f t="shared" si="139"/>
        <v>13612.965899029852</v>
      </c>
    </row>
    <row r="196" spans="1:21">
      <c r="A196">
        <f>'Input data'!A149</f>
        <v>2049</v>
      </c>
      <c r="C196" s="314">
        <f>'4A SWD Case 3'!BG119</f>
        <v>293.66010075907496</v>
      </c>
      <c r="D196" s="3">
        <f>'4B Biological treatment '!T249</f>
        <v>4.726064553256899</v>
      </c>
      <c r="E196" s="178">
        <f>'4B Biological treatment '!U249</f>
        <v>23.630322766284493</v>
      </c>
      <c r="F196" s="178">
        <f>'4B Biological treatment '!W249</f>
        <v>1.4178193659770697</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6166.8621159405739</v>
      </c>
      <c r="M196" s="772">
        <f t="shared" si="131"/>
        <v>99.247355618394877</v>
      </c>
      <c r="N196" s="771">
        <f t="shared" si="132"/>
        <v>935.76078154486595</v>
      </c>
      <c r="O196" s="773">
        <f t="shared" si="133"/>
        <v>94.889057356937755</v>
      </c>
      <c r="P196" s="771">
        <f t="shared" si="134"/>
        <v>6221.8078850207985</v>
      </c>
      <c r="Q196" s="519">
        <f t="shared" si="135"/>
        <v>6166.8621159405739</v>
      </c>
      <c r="R196" s="521">
        <f t="shared" si="136"/>
        <v>1035.0081371632609</v>
      </c>
      <c r="S196" s="518">
        <f t="shared" si="137"/>
        <v>94.889057356937755</v>
      </c>
      <c r="T196" s="519">
        <f t="shared" si="138"/>
        <v>6221.8078850207985</v>
      </c>
      <c r="U196" s="519">
        <f t="shared" si="139"/>
        <v>13518.56719548157</v>
      </c>
    </row>
    <row r="197" spans="1:21">
      <c r="A197">
        <f>'Input data'!A150</f>
        <v>2050</v>
      </c>
      <c r="C197" s="314">
        <f>'4A SWD Case 3'!BG120</f>
        <v>287.66432584168399</v>
      </c>
      <c r="D197" s="3">
        <f>'4B Biological treatment '!T250</f>
        <v>4.7614308297235421</v>
      </c>
      <c r="E197" s="178">
        <f>'4B Biological treatment '!U250</f>
        <v>23.807154148617713</v>
      </c>
      <c r="F197" s="178">
        <f>'4B Biological treatment '!W250</f>
        <v>1.4284292489170625</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6040.9508426753637</v>
      </c>
      <c r="M197" s="772">
        <f t="shared" si="131"/>
        <v>99.990047424194387</v>
      </c>
      <c r="N197" s="771">
        <f t="shared" si="132"/>
        <v>942.76330428526126</v>
      </c>
      <c r="O197" s="773">
        <f t="shared" si="133"/>
        <v>94.743576348754203</v>
      </c>
      <c r="P197" s="771">
        <f t="shared" si="134"/>
        <v>6253.5692186643009</v>
      </c>
      <c r="Q197" s="471">
        <f t="shared" si="135"/>
        <v>6040.9508426753637</v>
      </c>
      <c r="R197" s="517">
        <f t="shared" si="136"/>
        <v>1042.7533517094557</v>
      </c>
      <c r="S197" s="514">
        <f t="shared" si="137"/>
        <v>94.743576348754203</v>
      </c>
      <c r="T197" s="471">
        <f t="shared" si="138"/>
        <v>6253.5692186643009</v>
      </c>
      <c r="U197" s="471">
        <f t="shared" si="139"/>
        <v>13432.016989397875</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1.2710110729265907</v>
      </c>
      <c r="E200" s="178">
        <f>'4B Biological treatment '!U253</f>
        <v>19.938637002127443</v>
      </c>
      <c r="F200" s="178">
        <f>'4B Biological treatment '!W253</f>
        <v>1.1963182201276465</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26.691232531458404</v>
      </c>
      <c r="N200" s="771">
        <f t="shared" si="147"/>
        <v>789.57002528424664</v>
      </c>
      <c r="O200" s="773">
        <f t="shared" si="148"/>
        <v>307.81392004196488</v>
      </c>
      <c r="P200" s="771">
        <f t="shared" si="149"/>
        <v>3922.0560748079342</v>
      </c>
      <c r="Q200" s="519">
        <f t="shared" si="141"/>
        <v>16839.906548915631</v>
      </c>
      <c r="R200" s="521">
        <f t="shared" si="142"/>
        <v>816.26125781570499</v>
      </c>
      <c r="S200" s="518">
        <f t="shared" si="143"/>
        <v>307.81392004196488</v>
      </c>
      <c r="T200" s="519">
        <f t="shared" si="144"/>
        <v>3922.0560748079342</v>
      </c>
      <c r="U200" s="519">
        <f t="shared" si="145"/>
        <v>21886.037801581235</v>
      </c>
    </row>
    <row r="201" spans="1:21">
      <c r="A201">
        <f>'Input data'!A120</f>
        <v>2020</v>
      </c>
      <c r="C201" s="314">
        <f>'4A SWD Case 3'!BN90</f>
        <v>782.0418960841854</v>
      </c>
      <c r="D201" s="3">
        <f>'4B Biological treatment '!T254</f>
        <v>1.8785908763672001</v>
      </c>
      <c r="E201" s="178">
        <f>'4B Biological treatment '!U254</f>
        <v>19.319868902018904</v>
      </c>
      <c r="F201" s="178">
        <f>'4B Biological treatment '!W254</f>
        <v>1.1591921341211342</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16422.879817767895</v>
      </c>
      <c r="M201" s="772">
        <f t="shared" si="146"/>
        <v>39.450408403711201</v>
      </c>
      <c r="N201" s="771">
        <f t="shared" si="147"/>
        <v>765.06680851994861</v>
      </c>
      <c r="O201" s="773">
        <f t="shared" si="148"/>
        <v>299.52410113774715</v>
      </c>
      <c r="P201" s="771">
        <f t="shared" si="149"/>
        <v>4069.6472808319609</v>
      </c>
      <c r="Q201" s="519">
        <f t="shared" si="141"/>
        <v>16422.879817767895</v>
      </c>
      <c r="R201" s="521">
        <f t="shared" si="142"/>
        <v>804.51721692365982</v>
      </c>
      <c r="S201" s="518">
        <f t="shared" si="143"/>
        <v>299.52410113774715</v>
      </c>
      <c r="T201" s="519">
        <f t="shared" si="144"/>
        <v>4069.6472808319609</v>
      </c>
      <c r="U201" s="519">
        <f t="shared" si="145"/>
        <v>21596.568416661263</v>
      </c>
    </row>
    <row r="202" spans="1:21">
      <c r="A202">
        <f>'Input data'!A121</f>
        <v>2021</v>
      </c>
      <c r="C202" s="314">
        <f>'4A SWD Case 3'!BN91</f>
        <v>760.94658072685638</v>
      </c>
      <c r="D202" s="3">
        <f>'4B Biological treatment '!T255</f>
        <v>2.8989240112725678</v>
      </c>
      <c r="E202" s="178">
        <f>'4B Biological treatment '!U255</f>
        <v>20.571709922744311</v>
      </c>
      <c r="F202" s="178">
        <f>'4B Biological treatment '!W255</f>
        <v>1.2343025953646585</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15979.878195263984</v>
      </c>
      <c r="M202" s="772">
        <f t="shared" si="146"/>
        <v>60.877404236723926</v>
      </c>
      <c r="N202" s="771">
        <f t="shared" si="147"/>
        <v>814.6397129406746</v>
      </c>
      <c r="O202" s="773">
        <f t="shared" si="148"/>
        <v>275.36438549102087</v>
      </c>
      <c r="P202" s="771">
        <f t="shared" si="149"/>
        <v>4201.6401192926323</v>
      </c>
      <c r="Q202" s="519">
        <f t="shared" si="141"/>
        <v>15979.878195263984</v>
      </c>
      <c r="R202" s="521">
        <f t="shared" si="142"/>
        <v>875.51711717739852</v>
      </c>
      <c r="S202" s="518">
        <f t="shared" si="143"/>
        <v>275.36438549102087</v>
      </c>
      <c r="T202" s="519">
        <f t="shared" si="144"/>
        <v>4201.6401192926323</v>
      </c>
      <c r="U202" s="519">
        <f t="shared" si="145"/>
        <v>21332.399817225036</v>
      </c>
    </row>
    <row r="203" spans="1:21">
      <c r="A203">
        <f>'Input data'!A122</f>
        <v>2022</v>
      </c>
      <c r="C203" s="314">
        <f>'4A SWD Case 3'!BN92</f>
        <v>734.97977606930203</v>
      </c>
      <c r="D203" s="3">
        <f>'4B Biological treatment '!T256</f>
        <v>3.8333785145682127</v>
      </c>
      <c r="E203" s="178">
        <f>'4B Biological treatment '!U256</f>
        <v>19.166892572841064</v>
      </c>
      <c r="F203" s="178">
        <f>'4B Biological treatment '!W256</f>
        <v>1.1500135543704637</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15434.575297455343</v>
      </c>
      <c r="M203" s="772">
        <f t="shared" si="146"/>
        <v>80.500948805932467</v>
      </c>
      <c r="N203" s="771">
        <f t="shared" si="147"/>
        <v>759.00894588450615</v>
      </c>
      <c r="O203" s="773">
        <f t="shared" si="148"/>
        <v>229.17353377197622</v>
      </c>
      <c r="P203" s="771">
        <f t="shared" si="149"/>
        <v>4336.1329960221574</v>
      </c>
      <c r="Q203" s="519">
        <f t="shared" si="141"/>
        <v>15434.575297455343</v>
      </c>
      <c r="R203" s="521">
        <f t="shared" si="142"/>
        <v>839.50989469043861</v>
      </c>
      <c r="S203" s="518">
        <f t="shared" si="143"/>
        <v>229.17353377197622</v>
      </c>
      <c r="T203" s="519">
        <f t="shared" si="144"/>
        <v>4336.1329960221574</v>
      </c>
      <c r="U203" s="519">
        <f t="shared" si="145"/>
        <v>20839.391721939915</v>
      </c>
    </row>
    <row r="204" spans="1:21">
      <c r="A204">
        <f>'Input data'!A123</f>
        <v>2023</v>
      </c>
      <c r="C204" s="314">
        <f>'4A SWD Case 3'!BN93</f>
        <v>707.38968973008696</v>
      </c>
      <c r="D204" s="3">
        <f>'4B Biological treatment '!T257</f>
        <v>3.8559760365389284</v>
      </c>
      <c r="E204" s="178">
        <f>'4B Biological treatment '!U257</f>
        <v>19.27988018269464</v>
      </c>
      <c r="F204" s="178">
        <f>'4B Biological treatment '!W257</f>
        <v>1.1567928109616783</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14855.183484331827</v>
      </c>
      <c r="M204" s="772">
        <f t="shared" si="146"/>
        <v>80.975496767317495</v>
      </c>
      <c r="N204" s="771">
        <f t="shared" si="147"/>
        <v>763.48325523470771</v>
      </c>
      <c r="O204" s="773">
        <f t="shared" si="148"/>
        <v>217.34002107405581</v>
      </c>
      <c r="P204" s="771">
        <f t="shared" si="149"/>
        <v>4473.1659836582639</v>
      </c>
      <c r="Q204" s="519">
        <f t="shared" si="141"/>
        <v>14855.183484331827</v>
      </c>
      <c r="R204" s="521">
        <f t="shared" si="142"/>
        <v>844.45875200202522</v>
      </c>
      <c r="S204" s="518">
        <f t="shared" si="143"/>
        <v>217.34002107405581</v>
      </c>
      <c r="T204" s="519">
        <f t="shared" si="144"/>
        <v>4473.1659836582639</v>
      </c>
      <c r="U204" s="519">
        <f t="shared" si="145"/>
        <v>20390.14824106617</v>
      </c>
    </row>
    <row r="205" spans="1:21">
      <c r="A205">
        <f>'Input data'!A124</f>
        <v>2024</v>
      </c>
      <c r="C205" s="314">
        <f>'4A SWD Case 3'!BN94</f>
        <v>680.9239180638391</v>
      </c>
      <c r="D205" s="3">
        <f>'4B Biological treatment '!T258</f>
        <v>3.8815961225189284</v>
      </c>
      <c r="E205" s="178">
        <f>'4B Biological treatment '!U258</f>
        <v>19.407980612594638</v>
      </c>
      <c r="F205" s="178">
        <f>'4B Biological treatment '!W258</f>
        <v>1.1644788367556784</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14299.40227934062</v>
      </c>
      <c r="M205" s="772">
        <f t="shared" si="146"/>
        <v>81.513518572897496</v>
      </c>
      <c r="N205" s="771">
        <f t="shared" si="147"/>
        <v>768.55603225874768</v>
      </c>
      <c r="O205" s="773">
        <f t="shared" si="148"/>
        <v>205.3038143886219</v>
      </c>
      <c r="P205" s="771">
        <f t="shared" si="149"/>
        <v>4612.7797461997052</v>
      </c>
      <c r="Q205" s="519">
        <f t="shared" si="141"/>
        <v>14299.40227934062</v>
      </c>
      <c r="R205" s="521">
        <f t="shared" si="142"/>
        <v>850.06955083164519</v>
      </c>
      <c r="S205" s="518">
        <f t="shared" si="143"/>
        <v>205.3038143886219</v>
      </c>
      <c r="T205" s="519">
        <f t="shared" si="144"/>
        <v>4612.7797461997052</v>
      </c>
      <c r="U205" s="519">
        <f t="shared" si="145"/>
        <v>19967.555390760594</v>
      </c>
    </row>
    <row r="206" spans="1:21">
      <c r="A206">
        <f>'Input data'!A125</f>
        <v>2025</v>
      </c>
      <c r="C206" s="314">
        <f>'4A SWD Case 3'!BN95</f>
        <v>655.50155890732412</v>
      </c>
      <c r="D206" s="3">
        <f>'4B Biological treatment '!T259</f>
        <v>3.9060562554179761</v>
      </c>
      <c r="E206" s="178">
        <f>'4B Biological treatment '!U259</f>
        <v>19.530281277089877</v>
      </c>
      <c r="F206" s="178">
        <f>'4B Biological treatment '!W259</f>
        <v>1.1718168766253927</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13765.532737053807</v>
      </c>
      <c r="M206" s="772">
        <f t="shared" si="146"/>
        <v>82.027181363777501</v>
      </c>
      <c r="N206" s="771">
        <f t="shared" si="147"/>
        <v>773.39913857275906</v>
      </c>
      <c r="O206" s="773">
        <f t="shared" si="148"/>
        <v>193.05753067442905</v>
      </c>
      <c r="P206" s="771">
        <f t="shared" si="149"/>
        <v>4755.015547311632</v>
      </c>
      <c r="Q206" s="519">
        <f t="shared" si="141"/>
        <v>13765.532737053807</v>
      </c>
      <c r="R206" s="521">
        <f t="shared" si="142"/>
        <v>855.42631993653652</v>
      </c>
      <c r="S206" s="518">
        <f t="shared" si="143"/>
        <v>193.05753067442905</v>
      </c>
      <c r="T206" s="519">
        <f t="shared" si="144"/>
        <v>4755.015547311632</v>
      </c>
      <c r="U206" s="519">
        <f t="shared" si="145"/>
        <v>19569.032134976405</v>
      </c>
    </row>
    <row r="207" spans="1:21">
      <c r="A207">
        <f>'Input data'!A126</f>
        <v>2026</v>
      </c>
      <c r="C207" s="314">
        <f>'4A SWD Case 3'!BN96</f>
        <v>631.04518202378813</v>
      </c>
      <c r="D207" s="3">
        <f>'4B Biological treatment '!T260</f>
        <v>3.9281800328661798</v>
      </c>
      <c r="E207" s="178">
        <f>'4B Biological treatment '!U260</f>
        <v>19.640900164330898</v>
      </c>
      <c r="F207" s="178">
        <f>'4B Biological treatment '!W260</f>
        <v>1.1784540098598537</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13251.948822499551</v>
      </c>
      <c r="M207" s="772">
        <f t="shared" si="146"/>
        <v>82.491780690189771</v>
      </c>
      <c r="N207" s="771">
        <f t="shared" si="147"/>
        <v>777.77964650750346</v>
      </c>
      <c r="O207" s="773">
        <f t="shared" si="148"/>
        <v>180.70037146955198</v>
      </c>
      <c r="P207" s="771">
        <f t="shared" si="149"/>
        <v>4891.8365725125823</v>
      </c>
      <c r="Q207" s="519">
        <f t="shared" si="141"/>
        <v>13251.948822499551</v>
      </c>
      <c r="R207" s="521">
        <f t="shared" si="142"/>
        <v>860.27142719769324</v>
      </c>
      <c r="S207" s="518">
        <f t="shared" si="143"/>
        <v>180.70037146955198</v>
      </c>
      <c r="T207" s="519">
        <f t="shared" si="144"/>
        <v>4891.8365725125823</v>
      </c>
      <c r="U207" s="519">
        <f t="shared" si="145"/>
        <v>19184.757193679376</v>
      </c>
    </row>
    <row r="208" spans="1:21">
      <c r="A208">
        <f>'Input data'!A127</f>
        <v>2027</v>
      </c>
      <c r="C208" s="314">
        <f>'4A SWD Case 3'!BN97</f>
        <v>607.47684542019977</v>
      </c>
      <c r="D208" s="3">
        <f>'4B Biological treatment '!T261</f>
        <v>3.9495986142640893</v>
      </c>
      <c r="E208" s="178">
        <f>'4B Biological treatment '!U261</f>
        <v>19.747993071320444</v>
      </c>
      <c r="F208" s="178">
        <f>'4B Biological treatment '!W261</f>
        <v>1.1848795842792266</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12757.013753824194</v>
      </c>
      <c r="M208" s="772">
        <f t="shared" si="146"/>
        <v>82.94157089954588</v>
      </c>
      <c r="N208" s="771">
        <f t="shared" si="147"/>
        <v>782.02052562428958</v>
      </c>
      <c r="O208" s="773">
        <f t="shared" si="148"/>
        <v>168.10228643963038</v>
      </c>
      <c r="P208" s="771">
        <f t="shared" si="149"/>
        <v>5030.8909891052281</v>
      </c>
      <c r="Q208" s="519">
        <f t="shared" si="141"/>
        <v>12757.013753824194</v>
      </c>
      <c r="R208" s="521">
        <f t="shared" si="142"/>
        <v>864.9620965238355</v>
      </c>
      <c r="S208" s="518">
        <f t="shared" si="143"/>
        <v>168.10228643963038</v>
      </c>
      <c r="T208" s="519">
        <f t="shared" si="144"/>
        <v>5030.8909891052281</v>
      </c>
      <c r="U208" s="519">
        <f t="shared" si="145"/>
        <v>18820.969125892887</v>
      </c>
    </row>
    <row r="209" spans="1:21">
      <c r="A209">
        <f>'Input data'!A128</f>
        <v>2028</v>
      </c>
      <c r="C209" s="314">
        <f>'4A SWD Case 3'!BN98</f>
        <v>584.72601977690169</v>
      </c>
      <c r="D209" s="3">
        <f>'4B Biological treatment '!T262</f>
        <v>3.9699022044932608</v>
      </c>
      <c r="E209" s="178">
        <f>'4B Biological treatment '!U262</f>
        <v>19.849511022466302</v>
      </c>
      <c r="F209" s="178">
        <f>'4B Biological treatment '!W262</f>
        <v>1.1909706613479782</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12279.246415314936</v>
      </c>
      <c r="M209" s="772">
        <f t="shared" si="146"/>
        <v>83.367946294358475</v>
      </c>
      <c r="N209" s="771">
        <f t="shared" si="147"/>
        <v>786.04063648966553</v>
      </c>
      <c r="O209" s="773">
        <f t="shared" si="148"/>
        <v>155.25457728774188</v>
      </c>
      <c r="P209" s="771">
        <f t="shared" si="149"/>
        <v>5172.2095138882814</v>
      </c>
      <c r="Q209" s="519">
        <f t="shared" si="141"/>
        <v>12279.246415314936</v>
      </c>
      <c r="R209" s="521">
        <f t="shared" si="142"/>
        <v>869.40858278402402</v>
      </c>
      <c r="S209" s="518">
        <f t="shared" si="143"/>
        <v>155.25457728774188</v>
      </c>
      <c r="T209" s="519">
        <f t="shared" si="144"/>
        <v>5172.2095138882814</v>
      </c>
      <c r="U209" s="519">
        <f t="shared" si="145"/>
        <v>18476.119089274984</v>
      </c>
    </row>
    <row r="210" spans="1:21">
      <c r="A210">
        <f>'Input data'!A129</f>
        <v>2029</v>
      </c>
      <c r="C210" s="314">
        <f>'4A SWD Case 3'!BN99</f>
        <v>562.72511324229038</v>
      </c>
      <c r="D210" s="3">
        <f>'4B Biological treatment '!T263</f>
        <v>3.995176262534907</v>
      </c>
      <c r="E210" s="178">
        <f>'4B Biological treatment '!U263</f>
        <v>19.975881312674531</v>
      </c>
      <c r="F210" s="178">
        <f>'4B Biological treatment '!W263</f>
        <v>1.198552878760472</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11817.227378088099</v>
      </c>
      <c r="M210" s="772">
        <f t="shared" si="146"/>
        <v>83.89870151323305</v>
      </c>
      <c r="N210" s="771">
        <f t="shared" si="147"/>
        <v>791.04489998191139</v>
      </c>
      <c r="O210" s="773">
        <f t="shared" si="148"/>
        <v>142.1481547216269</v>
      </c>
      <c r="P210" s="771">
        <f t="shared" si="149"/>
        <v>5315.8232520302154</v>
      </c>
      <c r="Q210" s="519">
        <f t="shared" si="141"/>
        <v>11817.227378088099</v>
      </c>
      <c r="R210" s="521">
        <f t="shared" si="142"/>
        <v>874.94360149514443</v>
      </c>
      <c r="S210" s="518">
        <f t="shared" si="143"/>
        <v>142.1481547216269</v>
      </c>
      <c r="T210" s="519">
        <f t="shared" si="144"/>
        <v>5315.8232520302154</v>
      </c>
      <c r="U210" s="519">
        <f t="shared" si="145"/>
        <v>18150.142386335086</v>
      </c>
    </row>
    <row r="211" spans="1:21">
      <c r="A211">
        <f>'Input data'!A130</f>
        <v>2030</v>
      </c>
      <c r="C211" s="314">
        <f>'4A SWD Case 3'!BN100</f>
        <v>541.4093095933481</v>
      </c>
      <c r="D211" s="3">
        <f>'4B Biological treatment '!T264</f>
        <v>4.0202017957260807</v>
      </c>
      <c r="E211" s="178">
        <f>'4B Biological treatment '!U264</f>
        <v>20.101008978630404</v>
      </c>
      <c r="F211" s="178">
        <f>'4B Biological treatment '!W264</f>
        <v>1.2060605387178243</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11369.59550146031</v>
      </c>
      <c r="M211" s="772">
        <f t="shared" si="146"/>
        <v>84.424237710247695</v>
      </c>
      <c r="N211" s="771">
        <f t="shared" si="147"/>
        <v>795.99995555376404</v>
      </c>
      <c r="O211" s="773">
        <f t="shared" si="148"/>
        <v>128.77351562592733</v>
      </c>
      <c r="P211" s="771">
        <f t="shared" si="149"/>
        <v>5461.7637017393099</v>
      </c>
      <c r="Q211" s="519">
        <f t="shared" si="141"/>
        <v>11369.59550146031</v>
      </c>
      <c r="R211" s="521">
        <f t="shared" si="142"/>
        <v>880.42419326401171</v>
      </c>
      <c r="S211" s="518">
        <f t="shared" si="143"/>
        <v>128.77351562592733</v>
      </c>
      <c r="T211" s="519">
        <f t="shared" si="144"/>
        <v>5461.7637017393099</v>
      </c>
      <c r="U211" s="519">
        <f t="shared" si="145"/>
        <v>17840.55691208956</v>
      </c>
    </row>
    <row r="212" spans="1:21">
      <c r="A212">
        <f>'Input data'!A131</f>
        <v>2031</v>
      </c>
      <c r="C212" s="314">
        <f>'4A SWD Case 3'!BN101</f>
        <v>520.71641310489269</v>
      </c>
      <c r="D212" s="3">
        <f>'4B Biological treatment '!T265</f>
        <v>4.0475128190492242</v>
      </c>
      <c r="E212" s="178">
        <f>'4B Biological treatment '!U265</f>
        <v>20.237564095246118</v>
      </c>
      <c r="F212" s="178">
        <f>'4B Biological treatment '!W265</f>
        <v>1.2142538457147669</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10935.044675202747</v>
      </c>
      <c r="M212" s="772">
        <f t="shared" si="146"/>
        <v>84.997769200033702</v>
      </c>
      <c r="N212" s="771">
        <f t="shared" si="147"/>
        <v>801.40753817174618</v>
      </c>
      <c r="O212" s="773">
        <f t="shared" si="148"/>
        <v>113.56951234567336</v>
      </c>
      <c r="P212" s="771">
        <f t="shared" si="149"/>
        <v>5508.3758769951792</v>
      </c>
      <c r="Q212" s="519">
        <f t="shared" si="141"/>
        <v>10935.044675202747</v>
      </c>
      <c r="R212" s="521">
        <f t="shared" si="142"/>
        <v>886.40530737177983</v>
      </c>
      <c r="S212" s="518">
        <f t="shared" si="143"/>
        <v>113.56951234567336</v>
      </c>
      <c r="T212" s="519">
        <f t="shared" si="144"/>
        <v>5508.3758769951792</v>
      </c>
      <c r="U212" s="519">
        <f t="shared" si="145"/>
        <v>17443.39537191538</v>
      </c>
    </row>
    <row r="213" spans="1:21">
      <c r="A213">
        <f>'Input data'!A132</f>
        <v>2032</v>
      </c>
      <c r="C213" s="314">
        <f>'4A SWD Case 3'!BN102</f>
        <v>500.46112990148498</v>
      </c>
      <c r="D213" s="3">
        <f>'4B Biological treatment '!T266</f>
        <v>4.0796184839764713</v>
      </c>
      <c r="E213" s="178">
        <f>'4B Biological treatment '!U266</f>
        <v>20.398092419882357</v>
      </c>
      <c r="F213" s="178">
        <f>'4B Biological treatment '!W266</f>
        <v>1.2238855451929413</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10509.683727931184</v>
      </c>
      <c r="M213" s="772">
        <f t="shared" si="146"/>
        <v>85.671988163505901</v>
      </c>
      <c r="N213" s="771">
        <f t="shared" si="147"/>
        <v>807.76445982734128</v>
      </c>
      <c r="O213" s="773">
        <f t="shared" si="148"/>
        <v>98.459981517794233</v>
      </c>
      <c r="P213" s="771">
        <f t="shared" si="149"/>
        <v>5555.3858532180511</v>
      </c>
      <c r="Q213" s="519">
        <f t="shared" si="141"/>
        <v>10509.683727931184</v>
      </c>
      <c r="R213" s="521">
        <f t="shared" si="142"/>
        <v>893.43644799084723</v>
      </c>
      <c r="S213" s="518">
        <f t="shared" si="143"/>
        <v>98.459981517794233</v>
      </c>
      <c r="T213" s="519">
        <f t="shared" si="144"/>
        <v>5555.3858532180511</v>
      </c>
      <c r="U213" s="519">
        <f t="shared" si="145"/>
        <v>17056.966010657874</v>
      </c>
    </row>
    <row r="214" spans="1:21">
      <c r="A214">
        <f>'Input data'!A133</f>
        <v>2033</v>
      </c>
      <c r="C214" s="314">
        <f>'4A SWD Case 3'!BN103</f>
        <v>480.61981562722792</v>
      </c>
      <c r="D214" s="3">
        <f>'4B Biological treatment '!T267</f>
        <v>4.1142729528094302</v>
      </c>
      <c r="E214" s="178">
        <f>'4B Biological treatment '!U267</f>
        <v>20.571364764047146</v>
      </c>
      <c r="F214" s="178">
        <f>'4B Biological treatment '!W267</f>
        <v>1.2342818858428288</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10093.016128171786</v>
      </c>
      <c r="M214" s="772">
        <f t="shared" si="146"/>
        <v>86.399732008998029</v>
      </c>
      <c r="N214" s="771">
        <f t="shared" si="147"/>
        <v>814.62604465626691</v>
      </c>
      <c r="O214" s="773">
        <f t="shared" si="148"/>
        <v>98.168119205727166</v>
      </c>
      <c r="P214" s="771">
        <f t="shared" si="149"/>
        <v>5602.7970253494477</v>
      </c>
      <c r="Q214" s="519">
        <f t="shared" si="141"/>
        <v>10093.016128171786</v>
      </c>
      <c r="R214" s="521">
        <f t="shared" si="142"/>
        <v>901.02577666526497</v>
      </c>
      <c r="S214" s="518">
        <f t="shared" si="143"/>
        <v>98.168119205727166</v>
      </c>
      <c r="T214" s="519">
        <f t="shared" si="144"/>
        <v>5602.7970253494477</v>
      </c>
      <c r="U214" s="519">
        <f t="shared" si="145"/>
        <v>16695.007049392225</v>
      </c>
    </row>
    <row r="215" spans="1:21">
      <c r="A215">
        <f>'Input data'!A134</f>
        <v>2034</v>
      </c>
      <c r="C215" s="314">
        <f>'4A SWD Case 3'!BN104</f>
        <v>461.75776356131274</v>
      </c>
      <c r="D215" s="3">
        <f>'4B Biological treatment '!T268</f>
        <v>4.1547165756786253</v>
      </c>
      <c r="E215" s="178">
        <f>'4B Biological treatment '!U268</f>
        <v>20.773582878393128</v>
      </c>
      <c r="F215" s="178">
        <f>'4B Biological treatment '!W268</f>
        <v>1.2464149727035876</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9696.9130347875671</v>
      </c>
      <c r="M215" s="772">
        <f t="shared" si="146"/>
        <v>87.249048089251133</v>
      </c>
      <c r="N215" s="771">
        <f t="shared" si="147"/>
        <v>822.63388198436792</v>
      </c>
      <c r="O215" s="773">
        <f t="shared" si="148"/>
        <v>97.880430060004471</v>
      </c>
      <c r="P215" s="771">
        <f t="shared" si="149"/>
        <v>5650.6128173042498</v>
      </c>
      <c r="Q215" s="519">
        <f t="shared" si="141"/>
        <v>9696.9130347875671</v>
      </c>
      <c r="R215" s="521">
        <f t="shared" si="142"/>
        <v>909.88293007361904</v>
      </c>
      <c r="S215" s="518">
        <f t="shared" si="143"/>
        <v>97.880430060004471</v>
      </c>
      <c r="T215" s="519">
        <f t="shared" si="144"/>
        <v>5650.6128173042498</v>
      </c>
      <c r="U215" s="519">
        <f t="shared" si="145"/>
        <v>16355.289212225442</v>
      </c>
    </row>
    <row r="216" spans="1:21">
      <c r="A216">
        <f>'Input data'!A135</f>
        <v>2035</v>
      </c>
      <c r="C216" s="314">
        <f>'4A SWD Case 3'!BN105</f>
        <v>443.82723065829924</v>
      </c>
      <c r="D216" s="3">
        <f>'4B Biological treatment '!T269</f>
        <v>4.1873323602781536</v>
      </c>
      <c r="E216" s="178">
        <f>'4B Biological treatment '!U269</f>
        <v>20.936661801390766</v>
      </c>
      <c r="F216" s="178">
        <f>'4B Biological treatment '!W269</f>
        <v>1.2561997080834459</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9320.371843824285</v>
      </c>
      <c r="M216" s="772">
        <f t="shared" si="146"/>
        <v>87.933979565841227</v>
      </c>
      <c r="N216" s="771">
        <f t="shared" si="147"/>
        <v>829.09180733507435</v>
      </c>
      <c r="O216" s="773">
        <f t="shared" si="148"/>
        <v>97.596835379073497</v>
      </c>
      <c r="P216" s="771">
        <f t="shared" si="149"/>
        <v>5698.8366822179532</v>
      </c>
      <c r="Q216" s="519">
        <f t="shared" si="141"/>
        <v>9320.371843824285</v>
      </c>
      <c r="R216" s="521">
        <f t="shared" si="142"/>
        <v>917.02578690091559</v>
      </c>
      <c r="S216" s="518">
        <f t="shared" si="143"/>
        <v>97.596835379073497</v>
      </c>
      <c r="T216" s="519">
        <f t="shared" si="144"/>
        <v>5698.8366822179532</v>
      </c>
      <c r="U216" s="519">
        <f t="shared" si="145"/>
        <v>16033.831148322228</v>
      </c>
    </row>
    <row r="217" spans="1:21">
      <c r="A217">
        <f>'Input data'!A136</f>
        <v>2036</v>
      </c>
      <c r="C217" s="314">
        <f>'4A SWD Case 3'!BN106</f>
        <v>426.78280023197681</v>
      </c>
      <c r="D217" s="3">
        <f>'4B Biological treatment '!T270</f>
        <v>4.2189148978065463</v>
      </c>
      <c r="E217" s="178">
        <f>'4B Biological treatment '!U270</f>
        <v>21.09457448903273</v>
      </c>
      <c r="F217" s="178">
        <f>'4B Biological treatment '!W270</f>
        <v>1.2656744693419637</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8962.4388048715136</v>
      </c>
      <c r="M217" s="772">
        <f t="shared" si="146"/>
        <v>88.597212853937478</v>
      </c>
      <c r="N217" s="771">
        <f t="shared" si="147"/>
        <v>835.34514976569608</v>
      </c>
      <c r="O217" s="773">
        <f t="shared" si="148"/>
        <v>97.356613290882166</v>
      </c>
      <c r="P217" s="771">
        <f t="shared" si="149"/>
        <v>5740.5587570983689</v>
      </c>
      <c r="Q217" s="519">
        <f t="shared" si="141"/>
        <v>8962.4388048715136</v>
      </c>
      <c r="R217" s="521">
        <f t="shared" si="142"/>
        <v>923.94236261963351</v>
      </c>
      <c r="S217" s="518">
        <f t="shared" si="143"/>
        <v>97.356613290882166</v>
      </c>
      <c r="T217" s="519">
        <f t="shared" si="144"/>
        <v>5740.5587570983689</v>
      </c>
      <c r="U217" s="519">
        <f t="shared" si="145"/>
        <v>15724.296537880396</v>
      </c>
    </row>
    <row r="218" spans="1:21">
      <c r="A218">
        <f>'Input data'!A137</f>
        <v>2037</v>
      </c>
      <c r="C218" s="314">
        <f>'4A SWD Case 3'!BN107</f>
        <v>410.62577669983818</v>
      </c>
      <c r="D218" s="3">
        <f>'4B Biological treatment '!T271</f>
        <v>4.2542048947470272</v>
      </c>
      <c r="E218" s="178">
        <f>'4B Biological treatment '!U271</f>
        <v>21.271024473735132</v>
      </c>
      <c r="F218" s="178">
        <f>'4B Biological treatment '!W271</f>
        <v>1.2762614684241078</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8623.1413106966011</v>
      </c>
      <c r="M218" s="772">
        <f t="shared" si="146"/>
        <v>89.338302789687575</v>
      </c>
      <c r="N218" s="771">
        <f t="shared" si="147"/>
        <v>842.33256915991115</v>
      </c>
      <c r="O218" s="773">
        <f t="shared" si="148"/>
        <v>97.11930396370947</v>
      </c>
      <c r="P218" s="771">
        <f t="shared" si="149"/>
        <v>5782.5862858160108</v>
      </c>
      <c r="Q218" s="519">
        <f t="shared" si="141"/>
        <v>8623.1413106966011</v>
      </c>
      <c r="R218" s="521">
        <f t="shared" si="142"/>
        <v>931.67087194959868</v>
      </c>
      <c r="S218" s="518">
        <f t="shared" si="143"/>
        <v>97.11930396370947</v>
      </c>
      <c r="T218" s="519">
        <f t="shared" si="144"/>
        <v>5782.5862858160108</v>
      </c>
      <c r="U218" s="519">
        <f t="shared" si="145"/>
        <v>15434.517772425919</v>
      </c>
    </row>
    <row r="219" spans="1:21">
      <c r="A219">
        <f>'Input data'!A138</f>
        <v>2038</v>
      </c>
      <c r="C219" s="314">
        <f>'4A SWD Case 3'!BN108</f>
        <v>395.9726099379514</v>
      </c>
      <c r="D219" s="3">
        <f>'4B Biological treatment '!T272</f>
        <v>4.2892333399063185</v>
      </c>
      <c r="E219" s="178">
        <f>'4B Biological treatment '!U272</f>
        <v>21.446166699531588</v>
      </c>
      <c r="F219" s="178">
        <f>'4B Biological treatment '!W272</f>
        <v>1.2867700019718953</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8315.4248086969801</v>
      </c>
      <c r="M219" s="772">
        <f t="shared" si="146"/>
        <v>90.073900138032684</v>
      </c>
      <c r="N219" s="771">
        <f t="shared" si="147"/>
        <v>849.26820130145097</v>
      </c>
      <c r="O219" s="773">
        <f t="shared" si="148"/>
        <v>96.88486093946301</v>
      </c>
      <c r="P219" s="771">
        <f t="shared" si="149"/>
        <v>5824.9215046462123</v>
      </c>
      <c r="Q219" s="519">
        <f t="shared" si="141"/>
        <v>8315.4248086969801</v>
      </c>
      <c r="R219" s="521">
        <f t="shared" si="142"/>
        <v>939.34210143948371</v>
      </c>
      <c r="S219" s="518">
        <f t="shared" si="143"/>
        <v>96.88486093946301</v>
      </c>
      <c r="T219" s="519">
        <f t="shared" si="144"/>
        <v>5824.9215046462123</v>
      </c>
      <c r="U219" s="519">
        <f t="shared" si="145"/>
        <v>15176.573275722139</v>
      </c>
    </row>
    <row r="220" spans="1:21">
      <c r="A220">
        <f>'Input data'!A139</f>
        <v>2039</v>
      </c>
      <c r="C220" s="314">
        <f>'4A SWD Case 3'!BN109</f>
        <v>382.4931886698829</v>
      </c>
      <c r="D220" s="3">
        <f>'4B Biological treatment '!T273</f>
        <v>4.3260758449547057</v>
      </c>
      <c r="E220" s="178">
        <f>'4B Biological treatment '!U273</f>
        <v>21.630379224773527</v>
      </c>
      <c r="F220" s="178">
        <f>'4B Biological treatment '!W273</f>
        <v>1.2978227534864115</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8032.3569620675407</v>
      </c>
      <c r="M220" s="772">
        <f t="shared" si="146"/>
        <v>90.847592744048825</v>
      </c>
      <c r="N220" s="771">
        <f t="shared" si="147"/>
        <v>856.56301730103166</v>
      </c>
      <c r="O220" s="773">
        <f t="shared" si="148"/>
        <v>96.653238724891821</v>
      </c>
      <c r="P220" s="771">
        <f t="shared" si="149"/>
        <v>5867.5666662364183</v>
      </c>
      <c r="Q220" s="519">
        <f t="shared" si="141"/>
        <v>8032.3569620675407</v>
      </c>
      <c r="R220" s="521">
        <f t="shared" si="142"/>
        <v>947.41061004508049</v>
      </c>
      <c r="S220" s="518">
        <f t="shared" si="143"/>
        <v>96.653238724891821</v>
      </c>
      <c r="T220" s="519">
        <f t="shared" si="144"/>
        <v>5867.5666662364183</v>
      </c>
      <c r="U220" s="519">
        <f t="shared" si="145"/>
        <v>14943.987477073932</v>
      </c>
    </row>
    <row r="221" spans="1:21">
      <c r="A221">
        <f>'Input data'!A140</f>
        <v>2040</v>
      </c>
      <c r="C221" s="314">
        <f>'4A SWD Case 3'!BN110</f>
        <v>370.13701150852546</v>
      </c>
      <c r="D221" s="3">
        <f>'4B Biological treatment '!T274</f>
        <v>4.3633847411532045</v>
      </c>
      <c r="E221" s="178">
        <f>'4B Biological treatment '!U274</f>
        <v>21.816923705766019</v>
      </c>
      <c r="F221" s="178">
        <f>'4B Biological treatment '!W274</f>
        <v>1.3090154223459609</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7772.8772416790343</v>
      </c>
      <c r="M221" s="772">
        <f t="shared" si="146"/>
        <v>91.631079564217288</v>
      </c>
      <c r="N221" s="771">
        <f t="shared" si="147"/>
        <v>863.95017874833434</v>
      </c>
      <c r="O221" s="773">
        <f t="shared" si="148"/>
        <v>96.424392766634725</v>
      </c>
      <c r="P221" s="771">
        <f t="shared" si="149"/>
        <v>5910.5240397260632</v>
      </c>
      <c r="Q221" s="519">
        <f t="shared" si="141"/>
        <v>7772.8772416790343</v>
      </c>
      <c r="R221" s="521">
        <f t="shared" si="142"/>
        <v>955.58125831255165</v>
      </c>
      <c r="S221" s="518">
        <f t="shared" si="143"/>
        <v>96.424392766634725</v>
      </c>
      <c r="T221" s="519">
        <f t="shared" si="144"/>
        <v>5910.5240397260632</v>
      </c>
      <c r="U221" s="519">
        <f t="shared" si="145"/>
        <v>14735.406932484282</v>
      </c>
    </row>
    <row r="222" spans="1:21">
      <c r="A222">
        <f>'Input data'!A141</f>
        <v>2041</v>
      </c>
      <c r="C222" s="314">
        <f>'4A SWD Case 3'!BN111</f>
        <v>358.85543293799697</v>
      </c>
      <c r="D222" s="3">
        <f>'4B Biological treatment '!T275</f>
        <v>4.404428261320783</v>
      </c>
      <c r="E222" s="178">
        <f>'4B Biological treatment '!U275</f>
        <v>22.022141306603913</v>
      </c>
      <c r="F222" s="178">
        <f>'4B Biological treatment '!W275</f>
        <v>1.3213284783962349</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7535.9640916979361</v>
      </c>
      <c r="M222" s="772">
        <f t="shared" si="146"/>
        <v>92.492993487736442</v>
      </c>
      <c r="N222" s="771">
        <f t="shared" si="147"/>
        <v>872.07679574151496</v>
      </c>
      <c r="O222" s="773">
        <f t="shared" si="148"/>
        <v>96.232289152450349</v>
      </c>
      <c r="P222" s="771">
        <f t="shared" si="149"/>
        <v>5947.2338879558556</v>
      </c>
      <c r="Q222" s="519">
        <f t="shared" si="141"/>
        <v>7535.9640916979361</v>
      </c>
      <c r="R222" s="521">
        <f t="shared" si="142"/>
        <v>964.56978922925146</v>
      </c>
      <c r="S222" s="518">
        <f t="shared" si="143"/>
        <v>96.232289152450349</v>
      </c>
      <c r="T222" s="519">
        <f t="shared" si="144"/>
        <v>5947.2338879558556</v>
      </c>
      <c r="U222" s="519">
        <f t="shared" si="145"/>
        <v>14544.000058035494</v>
      </c>
    </row>
    <row r="223" spans="1:21">
      <c r="A223">
        <f>'Input data'!A142</f>
        <v>2042</v>
      </c>
      <c r="C223" s="314">
        <f>'4A SWD Case 3'!BN112</f>
        <v>348.38570874293976</v>
      </c>
      <c r="D223" s="3">
        <f>'4B Biological treatment '!T276</f>
        <v>4.4442850812042449</v>
      </c>
      <c r="E223" s="178">
        <f>'4B Biological treatment '!U276</f>
        <v>22.221425406021226</v>
      </c>
      <c r="F223" s="178">
        <f>'4B Biological treatment '!W276</f>
        <v>1.3332855243612733</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7316.0998836017352</v>
      </c>
      <c r="M223" s="772">
        <f t="shared" si="146"/>
        <v>93.329986705289144</v>
      </c>
      <c r="N223" s="771">
        <f t="shared" si="147"/>
        <v>879.96844607844048</v>
      </c>
      <c r="O223" s="773">
        <f t="shared" si="148"/>
        <v>96.042128189602451</v>
      </c>
      <c r="P223" s="771">
        <f t="shared" si="149"/>
        <v>5984.171738465644</v>
      </c>
      <c r="Q223" s="519">
        <f t="shared" si="141"/>
        <v>7316.0998836017352</v>
      </c>
      <c r="R223" s="521">
        <f t="shared" si="142"/>
        <v>973.2984327837296</v>
      </c>
      <c r="S223" s="518">
        <f t="shared" si="143"/>
        <v>96.042128189602451</v>
      </c>
      <c r="T223" s="519">
        <f t="shared" si="144"/>
        <v>5984.171738465644</v>
      </c>
      <c r="U223" s="519">
        <f t="shared" si="145"/>
        <v>14369.612183040712</v>
      </c>
    </row>
    <row r="224" spans="1:21">
      <c r="A224">
        <f>'Input data'!A143</f>
        <v>2043</v>
      </c>
      <c r="C224" s="314">
        <f>'4A SWD Case 3'!BN113</f>
        <v>338.69026430176086</v>
      </c>
      <c r="D224" s="3">
        <f>'4B Biological treatment '!T277</f>
        <v>4.4850160379714179</v>
      </c>
      <c r="E224" s="178">
        <f>'4B Biological treatment '!U277</f>
        <v>22.425080189857088</v>
      </c>
      <c r="F224" s="178">
        <f>'4B Biological treatment '!W277</f>
        <v>1.3455048113914252</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7112.4955503369783</v>
      </c>
      <c r="M224" s="772">
        <f t="shared" si="146"/>
        <v>94.185336797399771</v>
      </c>
      <c r="N224" s="771">
        <f t="shared" si="147"/>
        <v>888.03317551834061</v>
      </c>
      <c r="O224" s="773">
        <f t="shared" si="148"/>
        <v>95.853884148944275</v>
      </c>
      <c r="P224" s="771">
        <f t="shared" si="149"/>
        <v>6021.3390073615255</v>
      </c>
      <c r="Q224" s="519">
        <f t="shared" si="141"/>
        <v>7112.4955503369783</v>
      </c>
      <c r="R224" s="521">
        <f t="shared" si="142"/>
        <v>982.21851231574033</v>
      </c>
      <c r="S224" s="518">
        <f t="shared" si="143"/>
        <v>95.853884148944275</v>
      </c>
      <c r="T224" s="519">
        <f t="shared" si="144"/>
        <v>6021.3390073615255</v>
      </c>
      <c r="U224" s="519">
        <f t="shared" si="145"/>
        <v>14211.906954163189</v>
      </c>
    </row>
    <row r="225" spans="1:21">
      <c r="A225">
        <f>'Input data'!A144</f>
        <v>2044</v>
      </c>
      <c r="C225" s="314">
        <f>'4A SWD Case 3'!BN114</f>
        <v>329.73403636843676</v>
      </c>
      <c r="D225" s="3">
        <f>'4B Biological treatment '!T278</f>
        <v>4.5271758150916082</v>
      </c>
      <c r="E225" s="178">
        <f>'4B Biological treatment '!U278</f>
        <v>22.635879075458035</v>
      </c>
      <c r="F225" s="178">
        <f>'4B Biological treatment '!W278</f>
        <v>1.3581527445274821</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6924.4147637371716</v>
      </c>
      <c r="M225" s="772">
        <f t="shared" si="146"/>
        <v>95.070692116923766</v>
      </c>
      <c r="N225" s="771">
        <f t="shared" si="147"/>
        <v>896.38081138813823</v>
      </c>
      <c r="O225" s="773">
        <f t="shared" si="148"/>
        <v>95.667531744697669</v>
      </c>
      <c r="P225" s="771">
        <f t="shared" si="149"/>
        <v>6058.7371195449232</v>
      </c>
      <c r="Q225" s="519">
        <f t="shared" si="141"/>
        <v>6924.4147637371716</v>
      </c>
      <c r="R225" s="521">
        <f t="shared" si="142"/>
        <v>991.45150350506196</v>
      </c>
      <c r="S225" s="518">
        <f t="shared" si="143"/>
        <v>95.667531744697669</v>
      </c>
      <c r="T225" s="519">
        <f t="shared" si="144"/>
        <v>6058.7371195449232</v>
      </c>
      <c r="U225" s="519">
        <f t="shared" si="145"/>
        <v>14070.270918531854</v>
      </c>
    </row>
    <row r="226" spans="1:21">
      <c r="A226">
        <f>'Input data'!A145</f>
        <v>2045</v>
      </c>
      <c r="C226" s="314">
        <f>'4A SWD Case 3'!BN115</f>
        <v>321.48379539766222</v>
      </c>
      <c r="D226" s="3">
        <f>'4B Biological treatment '!T279</f>
        <v>4.5709925756248317</v>
      </c>
      <c r="E226" s="178">
        <f>'4B Biological treatment '!U279</f>
        <v>22.854962878124155</v>
      </c>
      <c r="F226" s="178">
        <f>'4B Biological treatment '!W279</f>
        <v>1.3712977726874493</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6751.159703350907</v>
      </c>
      <c r="M226" s="772">
        <f t="shared" si="146"/>
        <v>95.990844088121463</v>
      </c>
      <c r="N226" s="771">
        <f t="shared" si="147"/>
        <v>905.05652997371658</v>
      </c>
      <c r="O226" s="773">
        <f t="shared" si="148"/>
        <v>95.483046124931136</v>
      </c>
      <c r="P226" s="771">
        <f t="shared" si="149"/>
        <v>6096.3675087672291</v>
      </c>
      <c r="Q226" s="519">
        <f t="shared" si="141"/>
        <v>6751.159703350907</v>
      </c>
      <c r="R226" s="521">
        <f t="shared" si="142"/>
        <v>1001.047374061838</v>
      </c>
      <c r="S226" s="518">
        <f t="shared" si="143"/>
        <v>95.483046124931136</v>
      </c>
      <c r="T226" s="519">
        <f t="shared" si="144"/>
        <v>6096.3675087672291</v>
      </c>
      <c r="U226" s="519">
        <f t="shared" si="145"/>
        <v>13944.057632304906</v>
      </c>
    </row>
    <row r="227" spans="1:21">
      <c r="A227">
        <f>'Input data'!A146</f>
        <v>2046</v>
      </c>
      <c r="C227" s="314">
        <f>'4A SWD Case 3'!BN116</f>
        <v>313.90792896040386</v>
      </c>
      <c r="D227" s="3">
        <f>'4B Biological treatment '!T280</f>
        <v>4.6197126270540352</v>
      </c>
      <c r="E227" s="178">
        <f>'4B Biological treatment '!U280</f>
        <v>23.098563135270172</v>
      </c>
      <c r="F227" s="178">
        <f>'4B Biological treatment '!W280</f>
        <v>1.3859137881162105</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6592.0665081684811</v>
      </c>
      <c r="M227" s="772">
        <f t="shared" si="146"/>
        <v>97.013965168134746</v>
      </c>
      <c r="N227" s="771">
        <f t="shared" si="147"/>
        <v>914.70310015669884</v>
      </c>
      <c r="O227" s="773">
        <f t="shared" si="148"/>
        <v>95.332713212379986</v>
      </c>
      <c r="P227" s="771">
        <f t="shared" si="149"/>
        <v>6127.4884893628396</v>
      </c>
      <c r="Q227" s="519">
        <f t="shared" si="141"/>
        <v>6592.0665081684811</v>
      </c>
      <c r="R227" s="521">
        <f t="shared" si="142"/>
        <v>1011.7170653248336</v>
      </c>
      <c r="S227" s="518">
        <f t="shared" si="143"/>
        <v>95.332713212379986</v>
      </c>
      <c r="T227" s="519">
        <f t="shared" si="144"/>
        <v>6127.4884893628396</v>
      </c>
      <c r="U227" s="519">
        <f t="shared" si="145"/>
        <v>13826.604776068532</v>
      </c>
    </row>
    <row r="228" spans="1:21">
      <c r="A228">
        <f>'Input data'!A147</f>
        <v>2047</v>
      </c>
      <c r="C228" s="314">
        <f>'4A SWD Case 3'!BN117</f>
        <v>306.76247986388</v>
      </c>
      <c r="D228" s="3">
        <f>'4B Biological treatment '!T281</f>
        <v>4.6546875354231503</v>
      </c>
      <c r="E228" s="178">
        <f>'4B Biological treatment '!U281</f>
        <v>23.273437677115751</v>
      </c>
      <c r="F228" s="178">
        <f>'4B Biological treatment '!W281</f>
        <v>1.396406260626945</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6442.0120771414804</v>
      </c>
      <c r="M228" s="772">
        <f t="shared" si="146"/>
        <v>97.748438243886156</v>
      </c>
      <c r="N228" s="771">
        <f t="shared" si="147"/>
        <v>921.62813201378367</v>
      </c>
      <c r="O228" s="773">
        <f t="shared" si="148"/>
        <v>95.183612874715863</v>
      </c>
      <c r="P228" s="771">
        <f t="shared" si="149"/>
        <v>6158.7683375844354</v>
      </c>
      <c r="Q228" s="519">
        <f t="shared" si="141"/>
        <v>6442.0120771414804</v>
      </c>
      <c r="R228" s="521">
        <f t="shared" si="142"/>
        <v>1019.3765702576699</v>
      </c>
      <c r="S228" s="518">
        <f t="shared" si="143"/>
        <v>95.183612874715863</v>
      </c>
      <c r="T228" s="519">
        <f t="shared" si="144"/>
        <v>6158.7683375844354</v>
      </c>
      <c r="U228" s="519">
        <f t="shared" si="145"/>
        <v>13715.340597858301</v>
      </c>
    </row>
    <row r="229" spans="1:21">
      <c r="A229">
        <f>'Input data'!A148</f>
        <v>2048</v>
      </c>
      <c r="C229" s="314">
        <f>'4A SWD Case 3'!BN118</f>
        <v>300.01967153695102</v>
      </c>
      <c r="D229" s="3">
        <f>'4B Biological treatment '!T282</f>
        <v>4.6909095908847851</v>
      </c>
      <c r="E229" s="178">
        <f>'4B Biological treatment '!U282</f>
        <v>23.454547954423923</v>
      </c>
      <c r="F229" s="178">
        <f>'4B Biological treatment '!W282</f>
        <v>1.4072728772654353</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6300.4131022759711</v>
      </c>
      <c r="M229" s="772">
        <f t="shared" si="146"/>
        <v>98.509101408580491</v>
      </c>
      <c r="N229" s="771">
        <f t="shared" si="147"/>
        <v>928.80009899518734</v>
      </c>
      <c r="O229" s="773">
        <f t="shared" si="148"/>
        <v>95.035731924294083</v>
      </c>
      <c r="P229" s="771">
        <f t="shared" si="149"/>
        <v>6190.2078644258199</v>
      </c>
      <c r="Q229" s="519">
        <f t="shared" si="141"/>
        <v>6300.4131022759711</v>
      </c>
      <c r="R229" s="521">
        <f t="shared" si="142"/>
        <v>1027.3092004037678</v>
      </c>
      <c r="S229" s="518">
        <f t="shared" si="143"/>
        <v>95.035731924294083</v>
      </c>
      <c r="T229" s="519">
        <f t="shared" si="144"/>
        <v>6190.2078644258199</v>
      </c>
      <c r="U229" s="519">
        <f t="shared" si="145"/>
        <v>13612.965899029852</v>
      </c>
    </row>
    <row r="230" spans="1:21">
      <c r="A230">
        <f>'Input data'!A149</f>
        <v>2049</v>
      </c>
      <c r="C230" s="314">
        <f>'4A SWD Case 3'!BN119</f>
        <v>293.66010075907496</v>
      </c>
      <c r="D230" s="3">
        <f>'4B Biological treatment '!T283</f>
        <v>4.726064553256899</v>
      </c>
      <c r="E230" s="178">
        <f>'4B Biological treatment '!U283</f>
        <v>23.630322766284493</v>
      </c>
      <c r="F230" s="178">
        <f>'4B Biological treatment '!W283</f>
        <v>1.4178193659770697</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6166.8621159405739</v>
      </c>
      <c r="M230" s="772">
        <f t="shared" si="146"/>
        <v>99.247355618394877</v>
      </c>
      <c r="N230" s="771">
        <f t="shared" si="147"/>
        <v>935.76078154486595</v>
      </c>
      <c r="O230" s="773">
        <f t="shared" si="148"/>
        <v>94.889057356937755</v>
      </c>
      <c r="P230" s="771">
        <f t="shared" si="149"/>
        <v>6221.8078850207985</v>
      </c>
      <c r="Q230" s="519">
        <f t="shared" si="141"/>
        <v>6166.8621159405739</v>
      </c>
      <c r="R230" s="521">
        <f t="shared" si="142"/>
        <v>1035.0081371632609</v>
      </c>
      <c r="S230" s="518">
        <f t="shared" si="143"/>
        <v>94.889057356937755</v>
      </c>
      <c r="T230" s="519">
        <f t="shared" si="144"/>
        <v>6221.8078850207985</v>
      </c>
      <c r="U230" s="519">
        <f t="shared" si="145"/>
        <v>13518.56719548157</v>
      </c>
    </row>
    <row r="231" spans="1:21">
      <c r="A231">
        <f>'Input data'!A150</f>
        <v>2050</v>
      </c>
      <c r="C231" s="314">
        <f>'4A SWD Case 3'!BN120</f>
        <v>287.66432584168399</v>
      </c>
      <c r="D231" s="3">
        <f>'4B Biological treatment '!T284</f>
        <v>4.7614308297235421</v>
      </c>
      <c r="E231" s="178">
        <f>'4B Biological treatment '!U284</f>
        <v>23.807154148617713</v>
      </c>
      <c r="F231" s="178">
        <f>'4B Biological treatment '!W284</f>
        <v>1.4284292489170625</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6040.9508426753637</v>
      </c>
      <c r="M231" s="772">
        <f t="shared" si="146"/>
        <v>99.990047424194387</v>
      </c>
      <c r="N231" s="771">
        <f t="shared" si="147"/>
        <v>942.76330428526126</v>
      </c>
      <c r="O231" s="773">
        <f t="shared" si="148"/>
        <v>94.743576348754203</v>
      </c>
      <c r="P231" s="771">
        <f t="shared" si="149"/>
        <v>6253.5692186643009</v>
      </c>
      <c r="Q231" s="471">
        <f t="shared" si="141"/>
        <v>6040.9508426753637</v>
      </c>
      <c r="R231" s="517">
        <f t="shared" si="142"/>
        <v>1042.7533517094557</v>
      </c>
      <c r="S231" s="514">
        <f t="shared" si="143"/>
        <v>94.743576348754203</v>
      </c>
      <c r="T231" s="471">
        <f t="shared" si="144"/>
        <v>6253.5692186643009</v>
      </c>
      <c r="U231" s="471">
        <f t="shared" si="145"/>
        <v>13432.016989397875</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810</v>
      </c>
    </row>
    <row r="4" spans="63:152" ht="31.5">
      <c r="DU4" s="1109" t="s">
        <v>628</v>
      </c>
      <c r="EV4" s="1684"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743</v>
      </c>
      <c r="C1" s="1779"/>
      <c r="D1" s="1779"/>
      <c r="E1" s="1779"/>
      <c r="F1" s="1780"/>
      <c r="H1" s="1778" t="s">
        <v>744</v>
      </c>
      <c r="I1" s="1779"/>
      <c r="J1" s="1779"/>
      <c r="K1" s="1779"/>
      <c r="L1" s="1780"/>
      <c r="M1" s="1751" t="s">
        <v>747</v>
      </c>
    </row>
    <row r="2" spans="1:13">
      <c r="B2" s="1743" t="s">
        <v>518</v>
      </c>
      <c r="C2" s="1744"/>
      <c r="D2" s="1744"/>
      <c r="E2" s="1744"/>
      <c r="F2" s="1745"/>
      <c r="H2" s="1743" t="s">
        <v>518</v>
      </c>
      <c r="I2" s="1744"/>
      <c r="J2" s="1744"/>
      <c r="K2" s="1744"/>
      <c r="L2" s="1745"/>
      <c r="M2" s="1752"/>
    </row>
    <row r="3" spans="1:13">
      <c r="B3" s="509" t="s">
        <v>187</v>
      </c>
      <c r="C3" s="512" t="s">
        <v>194</v>
      </c>
      <c r="D3" s="512" t="s">
        <v>513</v>
      </c>
      <c r="E3" s="512" t="s">
        <v>517</v>
      </c>
      <c r="F3" s="513">
        <v>4</v>
      </c>
      <c r="H3" s="509" t="s">
        <v>187</v>
      </c>
      <c r="I3" s="512" t="s">
        <v>194</v>
      </c>
      <c r="J3" s="512" t="s">
        <v>513</v>
      </c>
      <c r="K3" s="512" t="s">
        <v>517</v>
      </c>
      <c r="L3" s="513">
        <v>4</v>
      </c>
      <c r="M3" s="1752"/>
    </row>
    <row r="4" spans="1:13" ht="75">
      <c r="B4" s="509" t="s">
        <v>233</v>
      </c>
      <c r="C4" s="512" t="s">
        <v>512</v>
      </c>
      <c r="D4" s="512" t="s">
        <v>38</v>
      </c>
      <c r="E4" s="512" t="s">
        <v>193</v>
      </c>
      <c r="F4" s="513" t="s">
        <v>627</v>
      </c>
      <c r="H4" s="509" t="s">
        <v>233</v>
      </c>
      <c r="I4" s="512" t="s">
        <v>512</v>
      </c>
      <c r="J4" s="512" t="s">
        <v>38</v>
      </c>
      <c r="K4" s="512" t="s">
        <v>193</v>
      </c>
      <c r="L4" s="513" t="s">
        <v>627</v>
      </c>
      <c r="M4" s="1752"/>
    </row>
    <row r="5" spans="1:13" ht="15.75" thickBot="1">
      <c r="B5" s="1740" t="s">
        <v>515</v>
      </c>
      <c r="C5" s="1741"/>
      <c r="D5" s="1741"/>
      <c r="E5" s="1741"/>
      <c r="F5" s="1742"/>
      <c r="H5" s="1740" t="s">
        <v>515</v>
      </c>
      <c r="I5" s="1741"/>
      <c r="J5" s="1741"/>
      <c r="K5" s="1741"/>
      <c r="L5" s="1742"/>
      <c r="M5" s="1753"/>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2">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2">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2">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2">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2">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2">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2">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2">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2">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2">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2">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2">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2">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2">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2">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2">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2">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2">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6" customWidth="1"/>
    <col min="7" max="7" width="11.85546875" style="1226" customWidth="1"/>
    <col min="8" max="8" width="13.85546875" style="1226" customWidth="1"/>
    <col min="9" max="9" width="11.42578125" style="1226" bestFit="1" customWidth="1"/>
    <col min="10" max="10" width="16.42578125" customWidth="1"/>
    <col min="11" max="11" width="10.140625" customWidth="1"/>
    <col min="12" max="12" width="25.28515625" customWidth="1"/>
    <col min="13" max="13" width="17.28515625" customWidth="1"/>
    <col min="14" max="14" width="15.5703125" style="1226" customWidth="1"/>
    <col min="15" max="15" width="11.85546875" style="1226" customWidth="1"/>
    <col min="16" max="16" width="13.85546875" style="1226" customWidth="1"/>
    <col min="17" max="17" width="12.42578125" style="122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5" t="s">
        <v>483</v>
      </c>
      <c r="B2" s="410"/>
    </row>
    <row r="3" spans="1:54" ht="31.9" customHeight="1" thickBot="1">
      <c r="B3" s="1789"/>
      <c r="C3" s="1789"/>
      <c r="E3" s="1227"/>
      <c r="J3" s="1227"/>
      <c r="K3" s="1227"/>
      <c r="M3" s="1227"/>
      <c r="R3" s="1227"/>
      <c r="S3" s="1227"/>
      <c r="T3" s="1227"/>
      <c r="U3" s="1227"/>
      <c r="V3" s="1227"/>
      <c r="W3" s="1227"/>
      <c r="X3" s="1227"/>
      <c r="AL3" s="545" t="s">
        <v>522</v>
      </c>
    </row>
    <row r="4" spans="1:54" ht="50.45" customHeight="1" thickBot="1">
      <c r="A4" s="1787" t="s">
        <v>217</v>
      </c>
      <c r="B4" s="524" t="s">
        <v>354</v>
      </c>
      <c r="C4" s="1352" t="s">
        <v>484</v>
      </c>
      <c r="D4" s="1790" t="s">
        <v>481</v>
      </c>
      <c r="E4" s="1791"/>
      <c r="F4" s="1791"/>
      <c r="G4" s="1791"/>
      <c r="H4" s="1791"/>
      <c r="I4" s="1791"/>
      <c r="J4" s="1791"/>
      <c r="K4" s="1792"/>
      <c r="L4" s="1790" t="s">
        <v>730</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6"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28" t="s">
        <v>491</v>
      </c>
      <c r="AI5" s="1229"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3" t="s">
        <v>731</v>
      </c>
      <c r="BA5" s="1154" t="s">
        <v>732</v>
      </c>
      <c r="BB5" s="1155" t="s">
        <v>733</v>
      </c>
    </row>
    <row r="6" spans="1:54" ht="15.6" customHeight="1">
      <c r="A6" s="632">
        <f>'Input data'!A50</f>
        <v>1950</v>
      </c>
      <c r="B6" s="1649">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1">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0">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1">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0">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1">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0">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1">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0">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1">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0">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1">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0">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1">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0">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1">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0">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1">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0">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1">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0">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1">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0">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1">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0">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1">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0">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1">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0">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1">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0">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1">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0">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1">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0">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1">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0">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1">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0">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1">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0">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1">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0">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1">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0">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1">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0">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1">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0">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1">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0">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1">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0">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1">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0">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1">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0">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1">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0">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1">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0">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1">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0">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1">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0">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1">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0">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1">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0">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1">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0">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1">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0">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1">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0">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1">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0">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1">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0">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1">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0">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1">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0">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1">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0">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1">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0">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1">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0">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1">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0">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1">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0">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1">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0">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1">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0">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1">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0">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1">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1">
        <f>'Input data'!A100</f>
        <v>2000</v>
      </c>
      <c r="B56" s="1648">
        <f>'Input data'!I100</f>
        <v>578.73</v>
      </c>
      <c r="C56" s="532">
        <f>B56*'Input data'!B100</f>
        <v>25464.120000000003</v>
      </c>
      <c r="D56" s="1232">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3">
        <f>'Input data'!U100</f>
        <v>1</v>
      </c>
      <c r="L56" s="1232">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2">
        <f t="shared" ref="T56:W71" si="29">T55</f>
        <v>0.8</v>
      </c>
      <c r="U56" s="415">
        <f t="shared" si="29"/>
        <v>0.11</v>
      </c>
      <c r="V56" s="415">
        <f t="shared" si="29"/>
        <v>0.09</v>
      </c>
      <c r="W56" s="415">
        <f t="shared" si="29"/>
        <v>0</v>
      </c>
      <c r="X56" s="1233">
        <f t="shared" si="8"/>
        <v>1</v>
      </c>
      <c r="Y56" s="1232">
        <f>'Input data'!$G$35</f>
        <v>0.66241124199764068</v>
      </c>
      <c r="Z56" s="1233">
        <f>'Input data'!$H$35</f>
        <v>0.33758875800235938</v>
      </c>
      <c r="AA56" s="1355">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3">
        <f t="shared" ref="AH56:AI71" si="31">AH55</f>
        <v>0.78201761382701329</v>
      </c>
      <c r="AI56" s="1234">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58">
        <f t="shared" si="22"/>
        <v>80.188323661702427</v>
      </c>
      <c r="BA56" s="415">
        <f t="shared" si="17"/>
        <v>0.14223993776609636</v>
      </c>
      <c r="BB56" s="1359">
        <f>'Input data'!D100/10^6</f>
        <v>0</v>
      </c>
    </row>
    <row r="57" spans="1:54">
      <c r="A57" s="990">
        <f>'Input data'!A101</f>
        <v>2001</v>
      </c>
      <c r="B57" s="1647">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2">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5">
        <f t="shared" si="6"/>
        <v>0.99999999999999989</v>
      </c>
      <c r="T57" s="648">
        <f t="shared" si="29"/>
        <v>0.8</v>
      </c>
      <c r="U57" s="411">
        <f t="shared" si="29"/>
        <v>0.11</v>
      </c>
      <c r="V57" s="411">
        <f t="shared" si="29"/>
        <v>0.09</v>
      </c>
      <c r="W57" s="411">
        <f t="shared" si="29"/>
        <v>0</v>
      </c>
      <c r="X57" s="1152">
        <f t="shared" si="8"/>
        <v>1</v>
      </c>
      <c r="Y57" s="648">
        <f>'Input data'!$G$35</f>
        <v>0.66241124199764068</v>
      </c>
      <c r="Z57" s="1152">
        <f>'Input data'!$H$35</f>
        <v>0.33758875800235938</v>
      </c>
      <c r="AA57" s="1356">
        <f>'Input data'!J101</f>
        <v>28.06789123869763</v>
      </c>
      <c r="AB57" s="1236">
        <f>'Input data'!L101</f>
        <v>56201.754187402395</v>
      </c>
      <c r="AC57" s="411">
        <f t="shared" si="30"/>
        <v>0.88463681982043585</v>
      </c>
      <c r="AD57" s="411">
        <f t="shared" si="30"/>
        <v>8.8860692477895534E-2</v>
      </c>
      <c r="AE57" s="411">
        <f t="shared" si="30"/>
        <v>0</v>
      </c>
      <c r="AF57" s="411">
        <f t="shared" si="30"/>
        <v>2.6502487701668711E-2</v>
      </c>
      <c r="AG57" s="411">
        <f t="shared" si="20"/>
        <v>1</v>
      </c>
      <c r="AH57" s="1354">
        <f t="shared" si="31"/>
        <v>0.78201761382701329</v>
      </c>
      <c r="AI57" s="1238">
        <f t="shared" si="31"/>
        <v>0.21798238617298668</v>
      </c>
      <c r="AJ57" s="1"/>
      <c r="AK57" s="990">
        <f t="shared" si="0"/>
        <v>2001</v>
      </c>
      <c r="AL57" s="766">
        <f t="shared" si="1"/>
        <v>20792.611440000001</v>
      </c>
      <c r="AM57" s="1236">
        <f t="shared" si="2"/>
        <v>1893.8231906474034</v>
      </c>
      <c r="AN57" s="1236">
        <f t="shared" si="3"/>
        <v>965.16088235259679</v>
      </c>
      <c r="AO57" s="1236">
        <f t="shared" si="4"/>
        <v>2339.1687869999996</v>
      </c>
      <c r="AP57" s="1236">
        <f t="shared" si="5"/>
        <v>0</v>
      </c>
      <c r="AQ57" s="663">
        <f t="shared" si="10"/>
        <v>25990.764299999999</v>
      </c>
      <c r="AR57" s="1"/>
      <c r="AS57" s="1239">
        <f t="shared" si="11"/>
        <v>49718.141092673519</v>
      </c>
      <c r="AT57" s="1240">
        <f t="shared" si="12"/>
        <v>3905.4951198173221</v>
      </c>
      <c r="AU57" s="1240">
        <f t="shared" si="13"/>
        <v>1088.6316757477196</v>
      </c>
      <c r="AV57" s="1236">
        <f t="shared" si="14"/>
        <v>0</v>
      </c>
      <c r="AW57" s="1240">
        <f t="shared" si="15"/>
        <v>1489.4862991638399</v>
      </c>
      <c r="AX57" s="744">
        <f t="shared" si="16"/>
        <v>56201.754187402395</v>
      </c>
      <c r="AY57" s="1"/>
      <c r="AZ57" s="1150">
        <f t="shared" si="22"/>
        <v>82.192518487402396</v>
      </c>
      <c r="BA57" s="411">
        <f t="shared" si="17"/>
        <v>0.14212687687042144</v>
      </c>
      <c r="BB57" s="1360">
        <f>'Input data'!D101/10^6</f>
        <v>0</v>
      </c>
    </row>
    <row r="58" spans="1:54">
      <c r="A58" s="990">
        <f>'Input data'!A102</f>
        <v>2002</v>
      </c>
      <c r="B58" s="1647">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2">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5">
        <f t="shared" si="6"/>
        <v>0.99999999999999989</v>
      </c>
      <c r="T58" s="648">
        <f t="shared" si="29"/>
        <v>0.8</v>
      </c>
      <c r="U58" s="411">
        <f t="shared" si="29"/>
        <v>0.11</v>
      </c>
      <c r="V58" s="411">
        <f t="shared" si="29"/>
        <v>0.09</v>
      </c>
      <c r="W58" s="411">
        <f t="shared" si="29"/>
        <v>0</v>
      </c>
      <c r="X58" s="1152">
        <f t="shared" si="8"/>
        <v>1</v>
      </c>
      <c r="Y58" s="648">
        <f>'Input data'!$G$35</f>
        <v>0.66241124199764068</v>
      </c>
      <c r="Z58" s="1152">
        <f>'Input data'!$H$35</f>
        <v>0.33758875800235938</v>
      </c>
      <c r="AA58" s="1356">
        <f>'Input data'!J102</f>
        <v>28.06789123869763</v>
      </c>
      <c r="AB58" s="1236">
        <f>'Input data'!L102</f>
        <v>58281.433980867463</v>
      </c>
      <c r="AC58" s="411">
        <f t="shared" si="30"/>
        <v>0.88463681982043585</v>
      </c>
      <c r="AD58" s="411">
        <f t="shared" si="30"/>
        <v>8.8860692477895534E-2</v>
      </c>
      <c r="AE58" s="411">
        <f t="shared" si="30"/>
        <v>0</v>
      </c>
      <c r="AF58" s="411">
        <f t="shared" si="30"/>
        <v>2.6502487701668711E-2</v>
      </c>
      <c r="AG58" s="411">
        <f t="shared" si="20"/>
        <v>1</v>
      </c>
      <c r="AH58" s="1354">
        <f t="shared" si="31"/>
        <v>0.78201761382701329</v>
      </c>
      <c r="AI58" s="1238">
        <f t="shared" si="31"/>
        <v>0.21798238617298668</v>
      </c>
      <c r="AJ58" s="1"/>
      <c r="AK58" s="990">
        <f t="shared" si="0"/>
        <v>2002</v>
      </c>
      <c r="AL58" s="766">
        <f t="shared" si="1"/>
        <v>21081.050472000003</v>
      </c>
      <c r="AM58" s="1236">
        <f t="shared" si="2"/>
        <v>1920.0946635437149</v>
      </c>
      <c r="AN58" s="1236">
        <f t="shared" si="3"/>
        <v>978.54977635628575</v>
      </c>
      <c r="AO58" s="1236">
        <f t="shared" si="4"/>
        <v>2371.6181781</v>
      </c>
      <c r="AP58" s="1236">
        <f t="shared" si="5"/>
        <v>0</v>
      </c>
      <c r="AQ58" s="663">
        <f t="shared" si="10"/>
        <v>26351.313090000003</v>
      </c>
      <c r="AR58" s="1"/>
      <c r="AS58" s="1239">
        <f t="shared" si="11"/>
        <v>51557.902411409275</v>
      </c>
      <c r="AT58" s="1240">
        <f t="shared" si="12"/>
        <v>4050.0133719892642</v>
      </c>
      <c r="AU58" s="1240">
        <f t="shared" si="13"/>
        <v>1128.91521015537</v>
      </c>
      <c r="AV58" s="1236">
        <f t="shared" si="14"/>
        <v>0</v>
      </c>
      <c r="AW58" s="1240">
        <f t="shared" si="15"/>
        <v>1544.6029873135569</v>
      </c>
      <c r="AX58" s="744">
        <f t="shared" si="16"/>
        <v>58281.433980867463</v>
      </c>
      <c r="AY58" s="1"/>
      <c r="AZ58" s="1150">
        <f t="shared" si="22"/>
        <v>84.632747070867467</v>
      </c>
      <c r="BA58" s="411">
        <f t="shared" si="17"/>
        <v>0.14171576136380343</v>
      </c>
      <c r="BB58" s="1360">
        <f>'Input data'!D102/10^6</f>
        <v>0</v>
      </c>
    </row>
    <row r="59" spans="1:54">
      <c r="A59" s="990">
        <f>'Input data'!A103</f>
        <v>2003</v>
      </c>
      <c r="B59" s="1647">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2">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5">
        <f t="shared" si="6"/>
        <v>0.99999999999999989</v>
      </c>
      <c r="T59" s="648">
        <f t="shared" si="29"/>
        <v>0.8</v>
      </c>
      <c r="U59" s="411">
        <f t="shared" si="29"/>
        <v>0.11</v>
      </c>
      <c r="V59" s="411">
        <f t="shared" si="29"/>
        <v>0.09</v>
      </c>
      <c r="W59" s="411">
        <f t="shared" si="29"/>
        <v>0</v>
      </c>
      <c r="X59" s="1152">
        <f t="shared" si="8"/>
        <v>1</v>
      </c>
      <c r="Y59" s="648">
        <f>'Input data'!$G$35</f>
        <v>0.66241124199764068</v>
      </c>
      <c r="Z59" s="1152">
        <f>'Input data'!$H$35</f>
        <v>0.33758875800235938</v>
      </c>
      <c r="AA59" s="1356">
        <f>'Input data'!J103</f>
        <v>28.06789123869763</v>
      </c>
      <c r="AB59" s="1236">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4">
        <f t="shared" si="31"/>
        <v>0.78201761382701329</v>
      </c>
      <c r="AI59" s="1238">
        <f t="shared" si="31"/>
        <v>0.21798238617298668</v>
      </c>
      <c r="AJ59" s="1"/>
      <c r="AK59" s="990">
        <f t="shared" si="0"/>
        <v>2003</v>
      </c>
      <c r="AL59" s="766">
        <f t="shared" si="1"/>
        <v>21350.970144000003</v>
      </c>
      <c r="AM59" s="1236">
        <f t="shared" si="2"/>
        <v>1944.6793645044681</v>
      </c>
      <c r="AN59" s="1236">
        <f t="shared" si="3"/>
        <v>991.07903029553222</v>
      </c>
      <c r="AO59" s="1236">
        <f t="shared" si="4"/>
        <v>2401.9841412000001</v>
      </c>
      <c r="AP59" s="1236">
        <f t="shared" si="5"/>
        <v>0</v>
      </c>
      <c r="AQ59" s="663">
        <f t="shared" si="10"/>
        <v>26688.712680000001</v>
      </c>
      <c r="AR59" s="1"/>
      <c r="AS59" s="1239">
        <f t="shared" si="11"/>
        <v>52463.465470334435</v>
      </c>
      <c r="AT59" s="1240">
        <f t="shared" si="12"/>
        <v>4169.45147138831</v>
      </c>
      <c r="AU59" s="1240">
        <f t="shared" si="13"/>
        <v>1162.2078130924817</v>
      </c>
      <c r="AV59" s="1236">
        <f t="shared" si="14"/>
        <v>0</v>
      </c>
      <c r="AW59" s="1240">
        <f t="shared" si="15"/>
        <v>2205.0748363264265</v>
      </c>
      <c r="AX59" s="744">
        <f t="shared" si="16"/>
        <v>60000.199591141652</v>
      </c>
      <c r="AY59" s="1"/>
      <c r="AZ59" s="1150">
        <f t="shared" si="22"/>
        <v>86.68891227114166</v>
      </c>
      <c r="BA59" s="411">
        <f t="shared" si="17"/>
        <v>0.14851353327100256</v>
      </c>
      <c r="BB59" s="1360">
        <f>'Input data'!D103/10^6</f>
        <v>0</v>
      </c>
    </row>
    <row r="60" spans="1:54">
      <c r="A60" s="990">
        <f>'Input data'!A104</f>
        <v>2004</v>
      </c>
      <c r="B60" s="1647">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2">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5">
        <f t="shared" si="6"/>
        <v>0.99999999999999989</v>
      </c>
      <c r="T60" s="648">
        <f t="shared" si="29"/>
        <v>0.8</v>
      </c>
      <c r="U60" s="411">
        <f t="shared" si="29"/>
        <v>0.11</v>
      </c>
      <c r="V60" s="411">
        <f t="shared" si="29"/>
        <v>0.09</v>
      </c>
      <c r="W60" s="411">
        <f t="shared" si="29"/>
        <v>0</v>
      </c>
      <c r="X60" s="1152">
        <f t="shared" si="8"/>
        <v>1</v>
      </c>
      <c r="Y60" s="648">
        <f>'Input data'!$G$35</f>
        <v>0.66241124199764068</v>
      </c>
      <c r="Z60" s="1152">
        <f>'Input data'!$H$35</f>
        <v>0.33758875800235938</v>
      </c>
      <c r="AA60" s="1356">
        <f>'Input data'!J104</f>
        <v>28.06789123869763</v>
      </c>
      <c r="AB60" s="1236">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4">
        <f t="shared" si="31"/>
        <v>0.78201761382701329</v>
      </c>
      <c r="AI60" s="1238">
        <f t="shared" si="31"/>
        <v>0.21798238617298668</v>
      </c>
      <c r="AJ60" s="1"/>
      <c r="AK60" s="990">
        <f t="shared" si="0"/>
        <v>2004</v>
      </c>
      <c r="AL60" s="766">
        <f t="shared" si="1"/>
        <v>21605.148360000003</v>
      </c>
      <c r="AM60" s="1236">
        <f t="shared" si="2"/>
        <v>1967.8303093199975</v>
      </c>
      <c r="AN60" s="1236">
        <f t="shared" si="3"/>
        <v>1002.8775901800029</v>
      </c>
      <c r="AO60" s="1236">
        <f t="shared" si="4"/>
        <v>2430.5791905000001</v>
      </c>
      <c r="AP60" s="1236">
        <f t="shared" si="5"/>
        <v>0</v>
      </c>
      <c r="AQ60" s="663">
        <f t="shared" si="10"/>
        <v>27006.435450000004</v>
      </c>
      <c r="AR60" s="1"/>
      <c r="AS60" s="1239">
        <f t="shared" si="11"/>
        <v>54210.014523770966</v>
      </c>
      <c r="AT60" s="1240">
        <f t="shared" si="12"/>
        <v>4359.3513378298694</v>
      </c>
      <c r="AU60" s="1240">
        <f t="shared" si="13"/>
        <v>1215.14118094629</v>
      </c>
      <c r="AV60" s="1236">
        <f t="shared" si="14"/>
        <v>0</v>
      </c>
      <c r="AW60" s="1240">
        <f t="shared" si="15"/>
        <v>2948.4332860783593</v>
      </c>
      <c r="AX60" s="744">
        <f t="shared" si="16"/>
        <v>62732.940328625482</v>
      </c>
      <c r="AY60" s="1"/>
      <c r="AZ60" s="1150">
        <f t="shared" si="22"/>
        <v>89.739375778625487</v>
      </c>
      <c r="BA60" s="411">
        <f t="shared" si="17"/>
        <v>0.15516280087799594</v>
      </c>
      <c r="BB60" s="1360">
        <f>'Input data'!D104/10^6</f>
        <v>0</v>
      </c>
    </row>
    <row r="61" spans="1:54">
      <c r="A61" s="990">
        <f>'Input data'!A105</f>
        <v>2005</v>
      </c>
      <c r="B61" s="1647">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2">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5">
        <f t="shared" si="6"/>
        <v>0.99999999999999989</v>
      </c>
      <c r="T61" s="648">
        <f t="shared" si="29"/>
        <v>0.8</v>
      </c>
      <c r="U61" s="411">
        <f t="shared" si="29"/>
        <v>0.11</v>
      </c>
      <c r="V61" s="411">
        <f t="shared" si="29"/>
        <v>0.09</v>
      </c>
      <c r="W61" s="411">
        <f t="shared" si="29"/>
        <v>0</v>
      </c>
      <c r="X61" s="1152">
        <f t="shared" si="8"/>
        <v>1</v>
      </c>
      <c r="Y61" s="648">
        <f>'Input data'!$G$35</f>
        <v>0.66241124199764068</v>
      </c>
      <c r="Z61" s="1152">
        <f>'Input data'!$H$35</f>
        <v>0.33758875800235938</v>
      </c>
      <c r="AA61" s="1356">
        <f>'Input data'!J105</f>
        <v>28.06789123869763</v>
      </c>
      <c r="AB61" s="1236">
        <f>'Input data'!L105</f>
        <v>66043.392915940407</v>
      </c>
      <c r="AC61" s="411">
        <f t="shared" si="32"/>
        <v>0.85389090786907051</v>
      </c>
      <c r="AD61" s="411">
        <f t="shared" si="33"/>
        <v>8.8860692477895534E-2</v>
      </c>
      <c r="AE61" s="411">
        <f t="shared" si="34"/>
        <v>0</v>
      </c>
      <c r="AF61" s="411">
        <f t="shared" si="35"/>
        <v>5.7248399653033938E-2</v>
      </c>
      <c r="AG61" s="411">
        <f t="shared" si="20"/>
        <v>1</v>
      </c>
      <c r="AH61" s="1354">
        <f t="shared" si="31"/>
        <v>0.78201761382701329</v>
      </c>
      <c r="AI61" s="1238">
        <f t="shared" si="31"/>
        <v>0.21798238617298668</v>
      </c>
      <c r="AJ61" s="1"/>
      <c r="AK61" s="990">
        <f t="shared" si="0"/>
        <v>2005</v>
      </c>
      <c r="AL61" s="766">
        <f t="shared" si="1"/>
        <v>21851.918832000003</v>
      </c>
      <c r="AM61" s="1236">
        <f t="shared" si="2"/>
        <v>1990.3065453613035</v>
      </c>
      <c r="AN61" s="1236">
        <f t="shared" si="3"/>
        <v>1014.3322940386965</v>
      </c>
      <c r="AO61" s="1236">
        <f t="shared" si="4"/>
        <v>2458.3408686000002</v>
      </c>
      <c r="AP61" s="1236">
        <f t="shared" si="5"/>
        <v>0</v>
      </c>
      <c r="AQ61" s="663">
        <f t="shared" si="10"/>
        <v>27314.898540000002</v>
      </c>
      <c r="AR61" s="1"/>
      <c r="AS61" s="1239">
        <f t="shared" si="11"/>
        <v>56393.852735746092</v>
      </c>
      <c r="AT61" s="1240">
        <f t="shared" si="12"/>
        <v>4589.3967627650773</v>
      </c>
      <c r="AU61" s="1240">
        <f t="shared" si="13"/>
        <v>1279.2648653351275</v>
      </c>
      <c r="AV61" s="1236">
        <f t="shared" si="14"/>
        <v>0</v>
      </c>
      <c r="AW61" s="1240">
        <f t="shared" si="15"/>
        <v>3780.8785520941069</v>
      </c>
      <c r="AX61" s="744">
        <f t="shared" si="16"/>
        <v>66043.392915940407</v>
      </c>
      <c r="AY61" s="1"/>
      <c r="AZ61" s="1150">
        <f t="shared" si="22"/>
        <v>93.358291455940389</v>
      </c>
      <c r="BA61" s="411">
        <f t="shared" si="17"/>
        <v>0.16187656878153692</v>
      </c>
      <c r="BB61" s="1360">
        <f>'Input data'!D105/10^6</f>
        <v>0</v>
      </c>
    </row>
    <row r="62" spans="1:54">
      <c r="A62" s="990">
        <f>'Input data'!A106</f>
        <v>2006</v>
      </c>
      <c r="B62" s="1647">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2">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5">
        <f t="shared" si="6"/>
        <v>0.99999999999999989</v>
      </c>
      <c r="T62" s="648">
        <f t="shared" si="29"/>
        <v>0.8</v>
      </c>
      <c r="U62" s="411">
        <f t="shared" si="29"/>
        <v>0.11</v>
      </c>
      <c r="V62" s="411">
        <f t="shared" si="29"/>
        <v>0.09</v>
      </c>
      <c r="W62" s="411">
        <f t="shared" si="29"/>
        <v>0</v>
      </c>
      <c r="X62" s="1152">
        <f t="shared" si="8"/>
        <v>1</v>
      </c>
      <c r="Y62" s="648">
        <f>'Input data'!$G$35</f>
        <v>0.66241124199764068</v>
      </c>
      <c r="Z62" s="1152">
        <f>'Input data'!$H$35</f>
        <v>0.33758875800235938</v>
      </c>
      <c r="AA62" s="1356">
        <f>'Input data'!J106</f>
        <v>28.06789123869763</v>
      </c>
      <c r="AB62" s="1236">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4">
        <f t="shared" si="31"/>
        <v>0.78201761382701329</v>
      </c>
      <c r="AI62" s="1238">
        <f t="shared" si="31"/>
        <v>0.21798238617298668</v>
      </c>
      <c r="AJ62" s="1"/>
      <c r="AK62" s="990">
        <f t="shared" si="0"/>
        <v>2006</v>
      </c>
      <c r="AL62" s="766">
        <f t="shared" si="1"/>
        <v>22098.689304000003</v>
      </c>
      <c r="AM62" s="1236">
        <f t="shared" si="2"/>
        <v>2012.7827814026102</v>
      </c>
      <c r="AN62" s="1236">
        <f t="shared" si="3"/>
        <v>1025.7869978973904</v>
      </c>
      <c r="AO62" s="1236">
        <f t="shared" si="4"/>
        <v>2486.1025467000004</v>
      </c>
      <c r="AP62" s="1236">
        <f t="shared" si="5"/>
        <v>0</v>
      </c>
      <c r="AQ62" s="663">
        <f t="shared" si="10"/>
        <v>27623.361630000003</v>
      </c>
      <c r="AR62" s="1"/>
      <c r="AS62" s="1239">
        <f t="shared" si="11"/>
        <v>58839.265780486741</v>
      </c>
      <c r="AT62" s="1240">
        <f t="shared" si="12"/>
        <v>4846.5772710273404</v>
      </c>
      <c r="AU62" s="1240">
        <f t="shared" si="13"/>
        <v>1350.9522798856019</v>
      </c>
      <c r="AV62" s="1236">
        <f t="shared" si="14"/>
        <v>0</v>
      </c>
      <c r="AW62" s="1240">
        <f t="shared" si="15"/>
        <v>4707.535689367498</v>
      </c>
      <c r="AX62" s="744">
        <f t="shared" si="16"/>
        <v>69744.331020767189</v>
      </c>
      <c r="AY62" s="1"/>
      <c r="AZ62" s="1150">
        <f t="shared" si="22"/>
        <v>97.367692650767196</v>
      </c>
      <c r="BA62" s="411">
        <f t="shared" si="17"/>
        <v>0.16873910759300498</v>
      </c>
      <c r="BB62" s="1360">
        <f>'Input data'!D106/10^6</f>
        <v>0</v>
      </c>
    </row>
    <row r="63" spans="1:54">
      <c r="A63" s="990">
        <f>'Input data'!A107</f>
        <v>2007</v>
      </c>
      <c r="B63" s="1647">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2">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5">
        <f t="shared" si="6"/>
        <v>0.99999999999999989</v>
      </c>
      <c r="T63" s="648">
        <f t="shared" si="29"/>
        <v>0.8</v>
      </c>
      <c r="U63" s="411">
        <f t="shared" si="29"/>
        <v>0.11</v>
      </c>
      <c r="V63" s="411">
        <f t="shared" si="29"/>
        <v>0.09</v>
      </c>
      <c r="W63" s="411">
        <f t="shared" si="29"/>
        <v>0</v>
      </c>
      <c r="X63" s="1152">
        <f t="shared" si="8"/>
        <v>1</v>
      </c>
      <c r="Y63" s="648">
        <f>'Input data'!$G$35</f>
        <v>0.66241124199764068</v>
      </c>
      <c r="Z63" s="1152">
        <f>'Input data'!$H$35</f>
        <v>0.33758875800235938</v>
      </c>
      <c r="AA63" s="1356">
        <f>'Input data'!J107</f>
        <v>28.06789123869763</v>
      </c>
      <c r="AB63" s="1236">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4">
        <f t="shared" si="31"/>
        <v>0.78201761382701329</v>
      </c>
      <c r="AI63" s="1238">
        <f t="shared" si="31"/>
        <v>0.21798238617298668</v>
      </c>
      <c r="AJ63" s="1"/>
      <c r="AK63" s="990">
        <f t="shared" si="0"/>
        <v>2007</v>
      </c>
      <c r="AL63" s="766">
        <f t="shared" si="1"/>
        <v>22342.218888000003</v>
      </c>
      <c r="AM63" s="1236">
        <f t="shared" si="2"/>
        <v>2034.9638323551937</v>
      </c>
      <c r="AN63" s="1236">
        <f t="shared" si="3"/>
        <v>1037.0912647448067</v>
      </c>
      <c r="AO63" s="1236">
        <f t="shared" si="4"/>
        <v>2513.4996249000001</v>
      </c>
      <c r="AP63" s="1236">
        <f t="shared" si="5"/>
        <v>0</v>
      </c>
      <c r="AQ63" s="663">
        <f t="shared" si="10"/>
        <v>27927.773610000004</v>
      </c>
      <c r="AR63" s="1"/>
      <c r="AS63" s="1239">
        <f t="shared" si="11"/>
        <v>61240.230240588942</v>
      </c>
      <c r="AT63" s="1240">
        <f t="shared" si="12"/>
        <v>5106.3768771794466</v>
      </c>
      <c r="AU63" s="1240">
        <f t="shared" si="13"/>
        <v>1423.3697511477842</v>
      </c>
      <c r="AV63" s="1236">
        <f t="shared" si="14"/>
        <v>0</v>
      </c>
      <c r="AW63" s="1240">
        <f t="shared" si="15"/>
        <v>5712.9822015584587</v>
      </c>
      <c r="AX63" s="744">
        <f t="shared" si="16"/>
        <v>73482.959070474637</v>
      </c>
      <c r="AY63" s="1"/>
      <c r="AZ63" s="1150">
        <f t="shared" si="22"/>
        <v>101.41073268047464</v>
      </c>
      <c r="BA63" s="411">
        <f t="shared" si="17"/>
        <v>0.17580272896813717</v>
      </c>
      <c r="BB63" s="1360">
        <f>'Input data'!D107/10^6</f>
        <v>0</v>
      </c>
    </row>
    <row r="64" spans="1:54">
      <c r="A64" s="990">
        <f>'Input data'!A108</f>
        <v>2008</v>
      </c>
      <c r="B64" s="1647">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2">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5">
        <f t="shared" si="6"/>
        <v>0.99999999999999989</v>
      </c>
      <c r="T64" s="648">
        <f t="shared" si="29"/>
        <v>0.8</v>
      </c>
      <c r="U64" s="411">
        <f t="shared" si="29"/>
        <v>0.11</v>
      </c>
      <c r="V64" s="411">
        <f t="shared" si="29"/>
        <v>0.09</v>
      </c>
      <c r="W64" s="411">
        <f t="shared" si="29"/>
        <v>0</v>
      </c>
      <c r="X64" s="1152">
        <f t="shared" si="8"/>
        <v>1</v>
      </c>
      <c r="Y64" s="648">
        <f>'Input data'!$G$35</f>
        <v>0.66241124199764068</v>
      </c>
      <c r="Z64" s="1152">
        <f>'Input data'!$H$35</f>
        <v>0.33758875800235938</v>
      </c>
      <c r="AA64" s="1356">
        <f>'Input data'!J108</f>
        <v>28.06789123869763</v>
      </c>
      <c r="AB64" s="1236">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4">
        <f t="shared" si="31"/>
        <v>0.78201761382701329</v>
      </c>
      <c r="AI64" s="1238">
        <f t="shared" si="31"/>
        <v>0.21798238617298668</v>
      </c>
      <c r="AJ64" s="1"/>
      <c r="AK64" s="990">
        <f t="shared" si="0"/>
        <v>2008</v>
      </c>
      <c r="AL64" s="766">
        <f t="shared" si="1"/>
        <v>22590.378312000001</v>
      </c>
      <c r="AM64" s="1236">
        <f t="shared" si="2"/>
        <v>2057.5665762916669</v>
      </c>
      <c r="AN64" s="1236">
        <f t="shared" si="3"/>
        <v>1048.6104416083335</v>
      </c>
      <c r="AO64" s="1236">
        <f t="shared" si="4"/>
        <v>2541.4175601000002</v>
      </c>
      <c r="AP64" s="1236">
        <f t="shared" si="5"/>
        <v>0</v>
      </c>
      <c r="AQ64" s="663">
        <f t="shared" si="10"/>
        <v>28237.972890000001</v>
      </c>
      <c r="AR64" s="1"/>
      <c r="AS64" s="1239">
        <f t="shared" si="11"/>
        <v>62417.302636082997</v>
      </c>
      <c r="AT64" s="1240">
        <f t="shared" si="12"/>
        <v>5269.3237501018584</v>
      </c>
      <c r="AU64" s="1240">
        <f t="shared" si="13"/>
        <v>1468.7901452041654</v>
      </c>
      <c r="AV64" s="1236">
        <f t="shared" si="14"/>
        <v>0</v>
      </c>
      <c r="AW64" s="1240">
        <f t="shared" si="15"/>
        <v>6672.418109694343</v>
      </c>
      <c r="AX64" s="744">
        <f t="shared" si="16"/>
        <v>75827.834641083376</v>
      </c>
      <c r="AY64" s="1"/>
      <c r="AZ64" s="1150">
        <f t="shared" si="22"/>
        <v>104.06580753108338</v>
      </c>
      <c r="BA64" s="411">
        <f t="shared" si="17"/>
        <v>0.1831353355645457</v>
      </c>
      <c r="BB64" s="1360">
        <f>'Input data'!D108/10^6</f>
        <v>0</v>
      </c>
    </row>
    <row r="65" spans="1:54">
      <c r="A65" s="990">
        <f>'Input data'!A109</f>
        <v>2009</v>
      </c>
      <c r="B65" s="1647">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2">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5">
        <f t="shared" si="6"/>
        <v>0.99999999999999989</v>
      </c>
      <c r="T65" s="648">
        <f t="shared" si="29"/>
        <v>0.8</v>
      </c>
      <c r="U65" s="411">
        <f t="shared" si="29"/>
        <v>0.11</v>
      </c>
      <c r="V65" s="411">
        <f t="shared" si="29"/>
        <v>0.09</v>
      </c>
      <c r="W65" s="411">
        <f t="shared" si="29"/>
        <v>0</v>
      </c>
      <c r="X65" s="1152">
        <f t="shared" si="8"/>
        <v>1</v>
      </c>
      <c r="Y65" s="648">
        <f>'Input data'!$G$35</f>
        <v>0.66241124199764068</v>
      </c>
      <c r="Z65" s="1152">
        <f>'Input data'!$H$35</f>
        <v>0.33758875800235938</v>
      </c>
      <c r="AA65" s="1356">
        <f>'Input data'!J109</f>
        <v>28.06789123869763</v>
      </c>
      <c r="AB65" s="1236">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4">
        <f t="shared" si="31"/>
        <v>0.78201761382701329</v>
      </c>
      <c r="AI65" s="1238">
        <f t="shared" si="31"/>
        <v>0.21798238617298668</v>
      </c>
      <c r="AJ65" s="1"/>
      <c r="AK65" s="990">
        <f t="shared" si="0"/>
        <v>2009</v>
      </c>
      <c r="AL65" s="766">
        <f t="shared" si="1"/>
        <v>22834.370880000002</v>
      </c>
      <c r="AM65" s="1236">
        <f t="shared" si="2"/>
        <v>2079.7897965426396</v>
      </c>
      <c r="AN65" s="1236">
        <f t="shared" si="3"/>
        <v>1059.9361994573608</v>
      </c>
      <c r="AO65" s="1236">
        <f t="shared" si="4"/>
        <v>2568.866724</v>
      </c>
      <c r="AP65" s="1236">
        <f t="shared" si="5"/>
        <v>0</v>
      </c>
      <c r="AQ65" s="663">
        <f t="shared" si="10"/>
        <v>28542.963599999999</v>
      </c>
      <c r="AR65" s="1"/>
      <c r="AS65" s="1239">
        <f t="shared" si="11"/>
        <v>60692.089769918319</v>
      </c>
      <c r="AT65" s="1240">
        <f t="shared" si="12"/>
        <v>5188.276843527613</v>
      </c>
      <c r="AU65" s="1240">
        <f t="shared" si="13"/>
        <v>1446.1988406419368</v>
      </c>
      <c r="AV65" s="1236">
        <f t="shared" si="14"/>
        <v>0</v>
      </c>
      <c r="AW65" s="1240">
        <f t="shared" si="15"/>
        <v>7334.9693501778302</v>
      </c>
      <c r="AX65" s="744">
        <f t="shared" si="16"/>
        <v>74661.534804265699</v>
      </c>
      <c r="AY65" s="1"/>
      <c r="AZ65" s="1150">
        <f t="shared" si="22"/>
        <v>103.20449840426571</v>
      </c>
      <c r="BA65" s="411">
        <f t="shared" si="17"/>
        <v>0.19067034924452517</v>
      </c>
      <c r="BB65" s="1360">
        <f>'Input data'!D109/10^6</f>
        <v>0</v>
      </c>
    </row>
    <row r="66" spans="1:54" s="1243" customFormat="1">
      <c r="A66" s="1241">
        <f>'Input data'!A110</f>
        <v>2010</v>
      </c>
      <c r="B66" s="1648">
        <f>'Input data'!I110</f>
        <v>559.42164173673609</v>
      </c>
      <c r="C66" s="532">
        <f>B66*'Input data'!B110</f>
        <v>27898.357273411028</v>
      </c>
      <c r="D66" s="1232">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3">
        <f>'Input data'!U110</f>
        <v>1</v>
      </c>
      <c r="L66" s="1232">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2">
        <f>($T$73-$T$65)/($A$73-$A$65)+T65</f>
        <v>0.75808980601378384</v>
      </c>
      <c r="U66" s="415">
        <f t="shared" ref="U66:U72" si="36">($U$73-$U$65)/($A$73-$A$65)+U65</f>
        <v>0.14797665887920658</v>
      </c>
      <c r="V66" s="415">
        <f t="shared" ref="V66:V72" si="37">($V$73-$V$65)/($A$73-$A$65)+V65</f>
        <v>9.3933535107009608E-2</v>
      </c>
      <c r="W66" s="415">
        <f t="shared" si="29"/>
        <v>0</v>
      </c>
      <c r="X66" s="1233">
        <f t="shared" si="8"/>
        <v>1</v>
      </c>
      <c r="Y66" s="1232">
        <f>'Input data'!$G$35</f>
        <v>0.66241124199764068</v>
      </c>
      <c r="Z66" s="1233">
        <f>'Input data'!$H$35</f>
        <v>0.33758875800235938</v>
      </c>
      <c r="AA66" s="1355">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3">
        <f t="shared" si="31"/>
        <v>0.78201761382701329</v>
      </c>
      <c r="AI66" s="1234">
        <f t="shared" si="31"/>
        <v>0.21798238617298668</v>
      </c>
      <c r="AJ66" s="413"/>
      <c r="AK66" s="1241">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2">
        <f t="shared" si="22"/>
        <v>104.82940175732732</v>
      </c>
      <c r="BA66" s="415">
        <f t="shared" si="17"/>
        <v>0.20921052286095793</v>
      </c>
      <c r="BB66" s="1361">
        <f>'Input data'!D110/10^6</f>
        <v>0</v>
      </c>
    </row>
    <row r="67" spans="1:54">
      <c r="A67" s="990">
        <f>'Input data'!A111</f>
        <v>2011</v>
      </c>
      <c r="B67" s="1647">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2">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5">
        <f t="shared" si="6"/>
        <v>0.99999999999999989</v>
      </c>
      <c r="T67" s="648">
        <f t="shared" ref="T67:T72" si="38">($T$73-$T$65)/($A$73-$A$65)+T66</f>
        <v>0.71617961202756764</v>
      </c>
      <c r="U67" s="411">
        <f t="shared" si="36"/>
        <v>0.18595331775841314</v>
      </c>
      <c r="V67" s="411">
        <f t="shared" si="37"/>
        <v>9.7867070214019219E-2</v>
      </c>
      <c r="W67" s="411">
        <f t="shared" si="29"/>
        <v>0</v>
      </c>
      <c r="X67" s="1152">
        <f t="shared" si="8"/>
        <v>1</v>
      </c>
      <c r="Y67" s="648">
        <f>'Input data'!$G$35</f>
        <v>0.66241124199764068</v>
      </c>
      <c r="Z67" s="1152">
        <f>'Input data'!$H$35</f>
        <v>0.33758875800235938</v>
      </c>
      <c r="AA67" s="1356">
        <f>'Input data'!J111</f>
        <v>28.06789123869763</v>
      </c>
      <c r="AB67" s="1236">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4">
        <f t="shared" si="31"/>
        <v>0.78201761382701329</v>
      </c>
      <c r="AI67" s="1238">
        <f t="shared" si="31"/>
        <v>0.21798238617298668</v>
      </c>
      <c r="AJ67" s="1"/>
      <c r="AK67" s="990">
        <f t="shared" si="0"/>
        <v>2011</v>
      </c>
      <c r="AL67" s="766">
        <f t="shared" si="1"/>
        <v>20025.960984172027</v>
      </c>
      <c r="AM67" s="1236">
        <f t="shared" si="2"/>
        <v>3444.3163877741108</v>
      </c>
      <c r="AN67" s="1236">
        <f t="shared" si="3"/>
        <v>1755.3483663853285</v>
      </c>
      <c r="AO67" s="1236">
        <f t="shared" si="4"/>
        <v>2736.5790603736596</v>
      </c>
      <c r="AP67" s="1236">
        <f t="shared" si="5"/>
        <v>0</v>
      </c>
      <c r="AQ67" s="663">
        <f t="shared" si="10"/>
        <v>27962.204798705126</v>
      </c>
      <c r="AR67" s="1"/>
      <c r="AS67" s="1239">
        <f t="shared" si="11"/>
        <v>62962.12100573552</v>
      </c>
      <c r="AT67" s="1240">
        <f t="shared" si="12"/>
        <v>5521.557678749652</v>
      </c>
      <c r="AU67" s="1240">
        <f t="shared" si="13"/>
        <v>1539.0987324639343</v>
      </c>
      <c r="AV67" s="1236">
        <f t="shared" si="14"/>
        <v>0</v>
      </c>
      <c r="AW67" s="1240">
        <f t="shared" si="15"/>
        <v>9434.8119212158254</v>
      </c>
      <c r="AX67" s="744">
        <f t="shared" si="16"/>
        <v>79457.589338164922</v>
      </c>
      <c r="AY67" s="1"/>
      <c r="AZ67" s="1150">
        <f t="shared" si="22"/>
        <v>107.41979413687004</v>
      </c>
      <c r="BA67" s="411">
        <f t="shared" si="17"/>
        <v>0.22744143519612944</v>
      </c>
      <c r="BB67" s="1360">
        <f>'Input data'!D111/10^6</f>
        <v>0</v>
      </c>
    </row>
    <row r="68" spans="1:54">
      <c r="A68" s="990">
        <f>'Input data'!A112</f>
        <v>2012</v>
      </c>
      <c r="B68" s="1647">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2">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5">
        <f t="shared" si="6"/>
        <v>0.99999999999999989</v>
      </c>
      <c r="T68" s="648">
        <f t="shared" si="38"/>
        <v>0.67426941804135143</v>
      </c>
      <c r="U68" s="411">
        <f t="shared" si="36"/>
        <v>0.22392997663761971</v>
      </c>
      <c r="V68" s="411">
        <f t="shared" si="37"/>
        <v>0.10180060532102883</v>
      </c>
      <c r="W68" s="411">
        <f t="shared" si="29"/>
        <v>0</v>
      </c>
      <c r="X68" s="1152">
        <f t="shared" si="8"/>
        <v>1</v>
      </c>
      <c r="Y68" s="648">
        <f>'Input data'!$G$35</f>
        <v>0.66241124199764068</v>
      </c>
      <c r="Z68" s="1152">
        <f>'Input data'!$H$35</f>
        <v>0.33758875800235938</v>
      </c>
      <c r="AA68" s="1356">
        <f>'Input data'!J112</f>
        <v>28.06789123869763</v>
      </c>
      <c r="AB68" s="1236">
        <f>'Input data'!L112</f>
        <v>81216.267712103698</v>
      </c>
      <c r="AC68" s="411">
        <f>'Input data'!B36</f>
        <v>0.7821504466492184</v>
      </c>
      <c r="AD68" s="411">
        <f>'Input data'!C36</f>
        <v>8.8860692477895534E-2</v>
      </c>
      <c r="AE68" s="411">
        <f>'Input data'!D36</f>
        <v>0</v>
      </c>
      <c r="AF68" s="411">
        <f>'Input data'!E36</f>
        <v>0.12898886087288614</v>
      </c>
      <c r="AG68" s="411">
        <f t="shared" si="20"/>
        <v>1</v>
      </c>
      <c r="AH68" s="1354">
        <f t="shared" si="31"/>
        <v>0.78201761382701329</v>
      </c>
      <c r="AI68" s="1238">
        <f t="shared" si="31"/>
        <v>0.21798238617298668</v>
      </c>
      <c r="AJ68" s="1"/>
      <c r="AK68" s="990">
        <f t="shared" si="0"/>
        <v>2012</v>
      </c>
      <c r="AL68" s="766">
        <f t="shared" si="1"/>
        <v>18374.747292487624</v>
      </c>
      <c r="AM68" s="1236">
        <f t="shared" si="2"/>
        <v>4042.2934857529522</v>
      </c>
      <c r="AN68" s="1236">
        <f t="shared" si="3"/>
        <v>2060.099151127069</v>
      </c>
      <c r="AO68" s="1236">
        <f t="shared" si="4"/>
        <v>2774.2032293706347</v>
      </c>
      <c r="AP68" s="1236">
        <f t="shared" si="5"/>
        <v>0</v>
      </c>
      <c r="AQ68" s="663">
        <f t="shared" si="10"/>
        <v>27251.34315873828</v>
      </c>
      <c r="AR68" s="1"/>
      <c r="AS68" s="1239">
        <f t="shared" si="11"/>
        <v>63523.340066204401</v>
      </c>
      <c r="AT68" s="1240">
        <f t="shared" si="12"/>
        <v>5643.7693411088603</v>
      </c>
      <c r="AU68" s="1240">
        <f t="shared" si="13"/>
        <v>1573.1644482588224</v>
      </c>
      <c r="AV68" s="1236">
        <f t="shared" si="14"/>
        <v>0</v>
      </c>
      <c r="AW68" s="1240">
        <f t="shared" si="15"/>
        <v>10475.993856531619</v>
      </c>
      <c r="AX68" s="744">
        <f t="shared" si="16"/>
        <v>81216.267712103698</v>
      </c>
      <c r="AY68" s="1"/>
      <c r="AZ68" s="1150">
        <f t="shared" si="22"/>
        <v>108.46761087084198</v>
      </c>
      <c r="BA68" s="411">
        <f t="shared" si="17"/>
        <v>0.24495352390298028</v>
      </c>
      <c r="BB68" s="1360">
        <f>'Input data'!D112/10^6</f>
        <v>0</v>
      </c>
    </row>
    <row r="69" spans="1:54">
      <c r="A69" s="990">
        <f>'Input data'!A113</f>
        <v>2013</v>
      </c>
      <c r="B69" s="1647">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2">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5">
        <f t="shared" si="6"/>
        <v>0.99999999999999989</v>
      </c>
      <c r="T69" s="648">
        <f t="shared" si="38"/>
        <v>0.63235922405513523</v>
      </c>
      <c r="U69" s="411">
        <f t="shared" si="36"/>
        <v>0.26190663551682625</v>
      </c>
      <c r="V69" s="411">
        <f t="shared" si="37"/>
        <v>0.10573414042803844</v>
      </c>
      <c r="W69" s="411">
        <f t="shared" si="29"/>
        <v>0</v>
      </c>
      <c r="X69" s="1152">
        <f t="shared" si="8"/>
        <v>0.99999999999999989</v>
      </c>
      <c r="Y69" s="648">
        <f>'Input data'!$G$35</f>
        <v>0.66241124199764068</v>
      </c>
      <c r="Z69" s="1152">
        <f>'Input data'!$H$35</f>
        <v>0.33758875800235938</v>
      </c>
      <c r="AA69" s="1356">
        <f>'Input data'!J113</f>
        <v>28.06789123869763</v>
      </c>
      <c r="AB69" s="1236">
        <f>'Input data'!L113</f>
        <v>83339.078958887578</v>
      </c>
      <c r="AC69" s="411">
        <f t="shared" si="30"/>
        <v>0.7821504466492184</v>
      </c>
      <c r="AD69" s="411">
        <f t="shared" si="30"/>
        <v>8.8860692477895534E-2</v>
      </c>
      <c r="AE69" s="411">
        <f t="shared" si="30"/>
        <v>0</v>
      </c>
      <c r="AF69" s="411">
        <f t="shared" si="30"/>
        <v>0.12898886087288614</v>
      </c>
      <c r="AG69" s="411">
        <f t="shared" si="20"/>
        <v>1</v>
      </c>
      <c r="AH69" s="1354">
        <f t="shared" si="31"/>
        <v>0.78201761382701329</v>
      </c>
      <c r="AI69" s="1238">
        <f t="shared" si="31"/>
        <v>0.21798238617298668</v>
      </c>
      <c r="AJ69" s="1"/>
      <c r="AK69" s="990">
        <f t="shared" si="0"/>
        <v>2013</v>
      </c>
      <c r="AL69" s="766">
        <f t="shared" si="1"/>
        <v>16840.780594786906</v>
      </c>
      <c r="AM69" s="1236">
        <f t="shared" si="2"/>
        <v>4620.3253237331637</v>
      </c>
      <c r="AN69" s="1236">
        <f t="shared" si="3"/>
        <v>2354.6851090602163</v>
      </c>
      <c r="AO69" s="1236">
        <f t="shared" si="4"/>
        <v>2815.8764711428162</v>
      </c>
      <c r="AP69" s="1236">
        <f t="shared" si="5"/>
        <v>0</v>
      </c>
      <c r="AQ69" s="663">
        <f t="shared" si="10"/>
        <v>26631.667498723102</v>
      </c>
      <c r="AR69" s="1"/>
      <c r="AS69" s="1239">
        <f t="shared" si="11"/>
        <v>65183.697831028396</v>
      </c>
      <c r="AT69" s="1240">
        <f t="shared" si="12"/>
        <v>5791.2848250021752</v>
      </c>
      <c r="AU69" s="1240">
        <f t="shared" si="13"/>
        <v>1614.2834417545885</v>
      </c>
      <c r="AV69" s="1236">
        <f t="shared" si="14"/>
        <v>0</v>
      </c>
      <c r="AW69" s="1240">
        <f t="shared" si="15"/>
        <v>10749.812861102422</v>
      </c>
      <c r="AX69" s="744">
        <f t="shared" si="16"/>
        <v>83339.078958887578</v>
      </c>
      <c r="AY69" s="1"/>
      <c r="AZ69" s="1150">
        <f t="shared" si="22"/>
        <v>109.97074645761069</v>
      </c>
      <c r="BA69" s="411">
        <f t="shared" si="17"/>
        <v>0.25412456432281788</v>
      </c>
      <c r="BB69" s="1360">
        <f>'Input data'!D113/10^6</f>
        <v>0</v>
      </c>
    </row>
    <row r="70" spans="1:54">
      <c r="A70" s="990">
        <f>'Input data'!A114</f>
        <v>2014</v>
      </c>
      <c r="B70" s="1647">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2">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5">
        <f t="shared" si="6"/>
        <v>0.99999999999999989</v>
      </c>
      <c r="T70" s="648">
        <f t="shared" si="38"/>
        <v>0.59044903006891902</v>
      </c>
      <c r="U70" s="411">
        <f t="shared" si="36"/>
        <v>0.29988329439603278</v>
      </c>
      <c r="V70" s="411">
        <f t="shared" si="37"/>
        <v>0.10966767553504805</v>
      </c>
      <c r="W70" s="411">
        <f t="shared" si="29"/>
        <v>0</v>
      </c>
      <c r="X70" s="1152">
        <f t="shared" si="8"/>
        <v>0.99999999999999989</v>
      </c>
      <c r="Y70" s="648">
        <f>'Input data'!$G$35</f>
        <v>0.66241124199764068</v>
      </c>
      <c r="Z70" s="1152">
        <f>'Input data'!$H$35</f>
        <v>0.33758875800235938</v>
      </c>
      <c r="AA70" s="1356">
        <f>'Input data'!J114</f>
        <v>28.06789123869763</v>
      </c>
      <c r="AB70" s="1236">
        <f>'Input data'!L114</f>
        <v>84827.268250850117</v>
      </c>
      <c r="AC70" s="411">
        <f t="shared" si="30"/>
        <v>0.7821504466492184</v>
      </c>
      <c r="AD70" s="411">
        <f t="shared" si="30"/>
        <v>8.8860692477895534E-2</v>
      </c>
      <c r="AE70" s="411">
        <f t="shared" si="30"/>
        <v>0</v>
      </c>
      <c r="AF70" s="411">
        <f t="shared" si="30"/>
        <v>0.12898886087288614</v>
      </c>
      <c r="AG70" s="411">
        <f t="shared" si="20"/>
        <v>1</v>
      </c>
      <c r="AH70" s="1354">
        <f t="shared" si="31"/>
        <v>0.78201761382701329</v>
      </c>
      <c r="AI70" s="1238">
        <f t="shared" si="31"/>
        <v>0.21798238617298668</v>
      </c>
      <c r="AJ70" s="1"/>
      <c r="AK70" s="990">
        <f t="shared" ref="AK70:AK73" si="39">A70</f>
        <v>2014</v>
      </c>
      <c r="AL70" s="766">
        <f t="shared" ref="AL70:AL73" si="40">C70*T70</f>
        <v>15349.258096732552</v>
      </c>
      <c r="AM70" s="1236">
        <f t="shared" ref="AM70:AM73" si="41">C70*Y70*U70</f>
        <v>5163.9846522072812</v>
      </c>
      <c r="AN70" s="1236">
        <f t="shared" ref="AN70:AN73" si="42">C70*U70*Z70</f>
        <v>2631.7535913560341</v>
      </c>
      <c r="AO70" s="1236">
        <f t="shared" ref="AO70:AO73" si="43">C70*V70</f>
        <v>2850.9106983539168</v>
      </c>
      <c r="AP70" s="1236">
        <f t="shared" ref="AP70:AP73" si="44">C70*W70</f>
        <v>0</v>
      </c>
      <c r="AQ70" s="663">
        <f t="shared" si="10"/>
        <v>25995.907038649784</v>
      </c>
      <c r="AR70" s="1"/>
      <c r="AS70" s="1239">
        <f t="shared" si="11"/>
        <v>66347.685750435485</v>
      </c>
      <c r="AT70" s="1240">
        <f t="shared" si="12"/>
        <v>5894.700031540815</v>
      </c>
      <c r="AU70" s="1240">
        <f t="shared" si="13"/>
        <v>1643.1097662379286</v>
      </c>
      <c r="AV70" s="1236">
        <f t="shared" si="14"/>
        <v>0</v>
      </c>
      <c r="AW70" s="1240">
        <f t="shared" si="15"/>
        <v>10941.772702635897</v>
      </c>
      <c r="AX70" s="744">
        <f t="shared" si="16"/>
        <v>84827.268250850131</v>
      </c>
      <c r="AY70" s="1"/>
      <c r="AZ70" s="1150">
        <f t="shared" si="22"/>
        <v>110.82317528949993</v>
      </c>
      <c r="BA70" s="411">
        <f t="shared" si="17"/>
        <v>0.26281715323754568</v>
      </c>
      <c r="BB70" s="1360">
        <f>'Input data'!D114/10^6</f>
        <v>0</v>
      </c>
    </row>
    <row r="71" spans="1:54">
      <c r="A71" s="990">
        <f>'Input data'!A115</f>
        <v>2015</v>
      </c>
      <c r="B71" s="1647">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2">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5">
        <f t="shared" ref="S71:S73" si="45">SUM(L71:R71)</f>
        <v>0.99999999999999989</v>
      </c>
      <c r="T71" s="648">
        <f t="shared" si="38"/>
        <v>0.54853883608270282</v>
      </c>
      <c r="U71" s="411">
        <f t="shared" si="36"/>
        <v>0.33785995327523932</v>
      </c>
      <c r="V71" s="411">
        <f t="shared" si="37"/>
        <v>0.11360121064205767</v>
      </c>
      <c r="W71" s="411">
        <f t="shared" si="29"/>
        <v>0</v>
      </c>
      <c r="X71" s="1152">
        <f t="shared" ref="X71:X72" si="46">SUM(T71:W71)</f>
        <v>0.99999999999999978</v>
      </c>
      <c r="Y71" s="648">
        <f>'Input data'!$G$35</f>
        <v>0.66241124199764068</v>
      </c>
      <c r="Z71" s="1152">
        <f>'Input data'!$H$35</f>
        <v>0.33758875800235938</v>
      </c>
      <c r="AA71" s="1356">
        <f>'Input data'!J115</f>
        <v>28.06789123869763</v>
      </c>
      <c r="AB71" s="1236">
        <f>'Input data'!L115</f>
        <v>85894.248849119918</v>
      </c>
      <c r="AC71" s="411">
        <f t="shared" si="30"/>
        <v>0.7821504466492184</v>
      </c>
      <c r="AD71" s="411">
        <f t="shared" si="30"/>
        <v>8.8860692477895534E-2</v>
      </c>
      <c r="AE71" s="411">
        <f t="shared" si="30"/>
        <v>0</v>
      </c>
      <c r="AF71" s="411">
        <f t="shared" si="30"/>
        <v>0.12898886087288614</v>
      </c>
      <c r="AG71" s="411">
        <f t="shared" si="20"/>
        <v>1</v>
      </c>
      <c r="AH71" s="1354">
        <f t="shared" si="31"/>
        <v>0.78201761382701329</v>
      </c>
      <c r="AI71" s="1238">
        <f t="shared" si="31"/>
        <v>0.21798238617298668</v>
      </c>
      <c r="AJ71" s="1"/>
      <c r="AK71" s="990">
        <f t="shared" si="39"/>
        <v>2015</v>
      </c>
      <c r="AL71" s="766">
        <f t="shared" si="40"/>
        <v>13901.564482903679</v>
      </c>
      <c r="AM71" s="1236">
        <f t="shared" si="41"/>
        <v>5671.7974093505181</v>
      </c>
      <c r="AN71" s="1236">
        <f t="shared" si="42"/>
        <v>2890.5533627257801</v>
      </c>
      <c r="AO71" s="1236">
        <f t="shared" si="43"/>
        <v>2878.9840412291032</v>
      </c>
      <c r="AP71" s="1236">
        <f t="shared" si="44"/>
        <v>0</v>
      </c>
      <c r="AQ71" s="663">
        <f t="shared" ref="AQ71:AQ73" si="47">SUM(AL71:AP71)</f>
        <v>25342.899296209078</v>
      </c>
      <c r="AR71" s="1"/>
      <c r="AS71" s="1239">
        <f t="shared" ref="AS71:AS73" si="48">AC71*AB71</f>
        <v>67182.225101938253</v>
      </c>
      <c r="AT71" s="1240">
        <f t="shared" ref="AT71:AT73" si="49">AB71*AD71*AH71</f>
        <v>5968.8451819855409</v>
      </c>
      <c r="AU71" s="1240">
        <f t="shared" ref="AU71:AU73" si="50">AI71*AD71*AB71</f>
        <v>1663.7772506159363</v>
      </c>
      <c r="AV71" s="1236">
        <f t="shared" ref="AV71:AV73" si="51">AE71*AB71</f>
        <v>0</v>
      </c>
      <c r="AW71" s="1240">
        <f t="shared" ref="AW71:AW73" si="52">AF71*AB71</f>
        <v>11079.401314580189</v>
      </c>
      <c r="AX71" s="744">
        <f t="shared" ref="AX71:AX73" si="53">SUM(AS71:AW71)</f>
        <v>85894.248849119918</v>
      </c>
      <c r="AY71" s="1"/>
      <c r="AZ71" s="1150">
        <f t="shared" si="22"/>
        <v>111.237148145329</v>
      </c>
      <c r="BA71" s="411">
        <f t="shared" ref="BA71:BA73" si="54">(AX71+AQ71-AS71-AL71)/(AQ71+AX71)</f>
        <v>0.27107274020628741</v>
      </c>
      <c r="BB71" s="1360">
        <f>'Input data'!D115/10^6</f>
        <v>0</v>
      </c>
    </row>
    <row r="72" spans="1:54">
      <c r="A72" s="990">
        <f>'Input data'!A116</f>
        <v>2016</v>
      </c>
      <c r="B72" s="1647">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2">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5">
        <f t="shared" si="45"/>
        <v>0.99999999999999989</v>
      </c>
      <c r="T72" s="648">
        <f t="shared" si="38"/>
        <v>0.50662864209648661</v>
      </c>
      <c r="U72" s="411">
        <f t="shared" si="36"/>
        <v>0.37583661215444586</v>
      </c>
      <c r="V72" s="411">
        <f t="shared" si="37"/>
        <v>0.11753474574906728</v>
      </c>
      <c r="W72" s="411">
        <f t="shared" ref="W72" si="55">W71</f>
        <v>0</v>
      </c>
      <c r="X72" s="1152">
        <f t="shared" si="46"/>
        <v>0.99999999999999978</v>
      </c>
      <c r="Y72" s="648">
        <f>'Input data'!$G$35</f>
        <v>0.66241124199764068</v>
      </c>
      <c r="Z72" s="1152">
        <f>'Input data'!$H$35</f>
        <v>0.33758875800235938</v>
      </c>
      <c r="AA72" s="1356">
        <f>'Input data'!J116</f>
        <v>28.06789123869763</v>
      </c>
      <c r="AB72" s="1236">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4">
        <f t="shared" ref="AH72:AI73" si="58">AH71</f>
        <v>0.78201761382701329</v>
      </c>
      <c r="AI72" s="1238">
        <f t="shared" si="58"/>
        <v>0.21798238617298668</v>
      </c>
      <c r="AJ72" s="1"/>
      <c r="AK72" s="990">
        <f t="shared" si="39"/>
        <v>2016</v>
      </c>
      <c r="AL72" s="766">
        <f t="shared" si="40"/>
        <v>12499.24800705794</v>
      </c>
      <c r="AM72" s="1236">
        <f t="shared" si="41"/>
        <v>6142.1571730197802</v>
      </c>
      <c r="AN72" s="1236">
        <f t="shared" si="42"/>
        <v>3130.2657322691025</v>
      </c>
      <c r="AO72" s="1236">
        <f t="shared" si="43"/>
        <v>2899.7490755453655</v>
      </c>
      <c r="AP72" s="1236">
        <f t="shared" si="44"/>
        <v>0</v>
      </c>
      <c r="AQ72" s="663">
        <f t="shared" si="47"/>
        <v>24671.419987892186</v>
      </c>
      <c r="AR72" s="1"/>
      <c r="AS72" s="1239">
        <f t="shared" si="48"/>
        <v>67679.122078690707</v>
      </c>
      <c r="AT72" s="1240">
        <f t="shared" si="49"/>
        <v>6012.9922926406553</v>
      </c>
      <c r="AU72" s="1240">
        <f t="shared" si="50"/>
        <v>1676.0829741100024</v>
      </c>
      <c r="AV72" s="1236">
        <f t="shared" si="51"/>
        <v>0</v>
      </c>
      <c r="AW72" s="1240">
        <f t="shared" si="52"/>
        <v>11161.347409832149</v>
      </c>
      <c r="AX72" s="744">
        <f t="shared" si="53"/>
        <v>86529.544755273513</v>
      </c>
      <c r="AY72" s="1"/>
      <c r="AZ72" s="1150">
        <f t="shared" ref="AZ72:AZ73" si="59">(AX72+AQ72)*1000/10^6</f>
        <v>111.2009647431657</v>
      </c>
      <c r="BA72" s="411">
        <f t="shared" si="54"/>
        <v>0.27897774744192294</v>
      </c>
      <c r="BB72" s="1360">
        <f>'Input data'!D116/10^6</f>
        <v>0</v>
      </c>
    </row>
    <row r="73" spans="1:54" s="1" customFormat="1" ht="16.5" thickBot="1">
      <c r="A73" s="1650">
        <f>'Input data'!A117</f>
        <v>2017</v>
      </c>
      <c r="B73" s="1651">
        <f>'Input data'!I117</f>
        <v>424.26313389388866</v>
      </c>
      <c r="C73" s="538">
        <f>B73*'Input data'!B117</f>
        <v>23980.178809937162</v>
      </c>
      <c r="D73" s="1244">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5">
        <f>'Input data'!U117</f>
        <v>1</v>
      </c>
      <c r="L73" s="1244">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4">
        <f>'Input data'!B35</f>
        <v>0.46471844811027063</v>
      </c>
      <c r="U73" s="536">
        <f>'Input data'!C35</f>
        <v>0.41381327103365251</v>
      </c>
      <c r="V73" s="536">
        <f>'Input data'!D35</f>
        <v>0.12146828085607692</v>
      </c>
      <c r="W73" s="536">
        <f>'Input data'!E35</f>
        <v>0</v>
      </c>
      <c r="X73" s="1245">
        <f>SUM(T73:W73)</f>
        <v>1</v>
      </c>
      <c r="Y73" s="1244">
        <f>'Input data'!$G$35</f>
        <v>0.66241124199764068</v>
      </c>
      <c r="Z73" s="1245">
        <f>'Input data'!$H$35</f>
        <v>0.33758875800235938</v>
      </c>
      <c r="AA73" s="1357">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6">
        <f t="shared" si="58"/>
        <v>0.78201761382701329</v>
      </c>
      <c r="AI73" s="1247">
        <f t="shared" si="58"/>
        <v>0.21798238617298668</v>
      </c>
      <c r="AJ73" s="413"/>
      <c r="AK73" s="1650">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2">
        <f t="shared" si="59"/>
        <v>111.48215319455257</v>
      </c>
      <c r="BA73" s="536">
        <f t="shared" si="54"/>
        <v>0.28613022309776337</v>
      </c>
      <c r="BB73" s="1653">
        <f>'Input data'!D117/10^6</f>
        <v>49.995050999999997</v>
      </c>
    </row>
    <row r="74" spans="1:54">
      <c r="B74" s="1248"/>
      <c r="F74" s="1249"/>
      <c r="G74" s="1249"/>
      <c r="H74" s="1249"/>
      <c r="I74" s="1249"/>
      <c r="J74" s="419"/>
      <c r="K74" s="419"/>
      <c r="L74" s="623"/>
      <c r="N74" s="1249"/>
      <c r="O74" s="1249"/>
      <c r="P74" s="1249"/>
      <c r="Q74" s="1249"/>
      <c r="R74" s="419"/>
      <c r="S74" s="419"/>
      <c r="T74" s="419"/>
      <c r="U74" s="419"/>
      <c r="V74" s="419"/>
      <c r="W74" s="419"/>
      <c r="X74" s="419"/>
    </row>
    <row r="75" spans="1:54">
      <c r="B75" s="1248"/>
      <c r="F75" s="1249"/>
      <c r="G75" s="1249"/>
      <c r="H75" s="1249"/>
      <c r="I75" s="1249"/>
      <c r="J75" s="419"/>
      <c r="K75" s="419"/>
      <c r="N75" s="1249"/>
      <c r="O75" s="1249"/>
      <c r="P75" s="1249"/>
      <c r="Q75" s="1249"/>
      <c r="R75" s="419"/>
      <c r="S75" s="419"/>
      <c r="T75" s="419"/>
      <c r="U75" s="419"/>
      <c r="V75" s="419"/>
      <c r="W75" s="419"/>
      <c r="X75" s="419"/>
    </row>
    <row r="76" spans="1:54">
      <c r="B76" s="1248"/>
      <c r="F76" s="1249"/>
      <c r="G76" s="1249"/>
      <c r="H76" s="1249"/>
      <c r="I76" s="1249"/>
      <c r="J76" s="419"/>
      <c r="K76" s="419"/>
      <c r="N76" s="1249"/>
      <c r="O76" s="1249"/>
      <c r="P76" s="1249"/>
      <c r="Q76" s="1249"/>
      <c r="R76" s="419"/>
      <c r="S76" s="419"/>
      <c r="T76" s="419"/>
      <c r="U76" s="419"/>
      <c r="V76" s="419"/>
      <c r="W76" s="419"/>
      <c r="X76" s="419"/>
    </row>
    <row r="77" spans="1:54">
      <c r="B77" s="1248"/>
      <c r="F77" s="1249"/>
      <c r="G77" s="1249"/>
      <c r="H77" s="1249"/>
      <c r="I77" s="1249"/>
      <c r="J77" s="419"/>
      <c r="K77" s="419"/>
      <c r="N77" s="1249"/>
      <c r="O77" s="1249"/>
      <c r="P77" s="1249"/>
      <c r="Q77" s="1249"/>
      <c r="R77" s="419"/>
      <c r="S77" s="419"/>
      <c r="T77" s="419"/>
      <c r="U77" s="419"/>
      <c r="V77" s="419"/>
      <c r="W77" s="419"/>
      <c r="X77" s="419"/>
    </row>
    <row r="78" spans="1:54">
      <c r="B78" s="1248"/>
      <c r="F78" s="1249"/>
      <c r="G78" s="1249"/>
      <c r="H78" s="1249"/>
      <c r="I78" s="1249"/>
      <c r="J78" s="419"/>
      <c r="K78" s="419"/>
      <c r="N78" s="1249"/>
      <c r="O78" s="1249"/>
      <c r="P78" s="1249"/>
      <c r="Q78" s="1249"/>
      <c r="R78" s="419"/>
      <c r="S78" s="419"/>
      <c r="T78" s="419"/>
      <c r="U78" s="419"/>
      <c r="V78" s="419"/>
      <c r="W78" s="419"/>
      <c r="X78" s="419"/>
    </row>
    <row r="79" spans="1:54">
      <c r="B79" s="1248"/>
      <c r="F79" s="1249"/>
      <c r="G79" s="1249"/>
      <c r="H79" s="1249"/>
      <c r="I79" s="1249"/>
      <c r="J79" s="419"/>
      <c r="K79" s="419"/>
      <c r="N79" s="1249"/>
      <c r="O79" s="1249"/>
      <c r="P79" s="1249"/>
      <c r="Q79" s="1249"/>
      <c r="R79" s="419"/>
      <c r="S79" s="419"/>
      <c r="T79" s="419"/>
      <c r="U79" s="419"/>
      <c r="V79" s="419"/>
      <c r="W79" s="419"/>
      <c r="X79" s="419"/>
    </row>
    <row r="80" spans="1:54">
      <c r="B80" s="1248"/>
      <c r="F80" s="1249"/>
      <c r="G80" s="1249"/>
      <c r="H80" s="1249"/>
      <c r="I80" s="1249"/>
      <c r="J80" s="419"/>
      <c r="K80" s="419"/>
      <c r="N80" s="1249"/>
      <c r="O80" s="1249"/>
      <c r="P80" s="1249"/>
      <c r="Q80" s="1249"/>
      <c r="R80" s="419"/>
      <c r="S80" s="419"/>
      <c r="T80" s="419"/>
      <c r="U80" s="419"/>
      <c r="V80" s="419"/>
      <c r="W80" s="419"/>
      <c r="X80" s="419"/>
    </row>
    <row r="81" spans="2:35" s="1" customFormat="1">
      <c r="B81" s="1248"/>
      <c r="F81" s="1249"/>
      <c r="G81" s="1249"/>
      <c r="H81" s="1249"/>
      <c r="I81" s="1249"/>
      <c r="J81" s="419"/>
      <c r="K81" s="419"/>
      <c r="N81" s="1249"/>
      <c r="O81" s="1249"/>
      <c r="P81" s="1249"/>
      <c r="Q81" s="1249"/>
      <c r="R81" s="419"/>
      <c r="S81" s="419"/>
      <c r="T81" s="419"/>
      <c r="U81" s="419"/>
      <c r="V81" s="419"/>
      <c r="W81" s="419"/>
      <c r="X81" s="419"/>
      <c r="AH81" s="1237"/>
      <c r="AI81" s="1237"/>
    </row>
    <row r="82" spans="2:35">
      <c r="B82" s="1248"/>
      <c r="F82" s="1249"/>
      <c r="G82" s="1249"/>
      <c r="H82" s="1249"/>
      <c r="I82" s="1249"/>
      <c r="J82" s="419"/>
      <c r="K82" s="419"/>
      <c r="N82" s="1249"/>
      <c r="O82" s="1249"/>
      <c r="P82" s="1249"/>
      <c r="Q82" s="1249"/>
      <c r="R82" s="419"/>
      <c r="S82" s="419"/>
      <c r="T82" s="419"/>
      <c r="U82" s="419"/>
      <c r="V82" s="419"/>
      <c r="W82" s="419"/>
      <c r="X82" s="419"/>
    </row>
    <row r="83" spans="2:35">
      <c r="B83" s="1248"/>
      <c r="F83" s="1249"/>
      <c r="G83" s="1249"/>
      <c r="H83" s="1249"/>
      <c r="I83" s="1249"/>
      <c r="J83" s="419"/>
      <c r="K83" s="419"/>
      <c r="N83" s="1249"/>
      <c r="O83" s="1249"/>
      <c r="P83" s="1249"/>
      <c r="Q83" s="1249"/>
      <c r="R83" s="419"/>
      <c r="S83" s="419"/>
      <c r="T83" s="419"/>
      <c r="U83" s="419"/>
      <c r="V83" s="419"/>
      <c r="W83" s="419"/>
      <c r="X83" s="419"/>
    </row>
    <row r="84" spans="2:35">
      <c r="B84" s="1248"/>
      <c r="F84" s="1249"/>
      <c r="G84" s="1249"/>
      <c r="H84" s="1249"/>
      <c r="I84" s="1249"/>
      <c r="J84" s="419"/>
      <c r="K84" s="419"/>
      <c r="N84" s="1249"/>
      <c r="O84" s="1249"/>
      <c r="P84" s="1249"/>
      <c r="Q84" s="1249"/>
      <c r="R84" s="419"/>
      <c r="S84" s="419"/>
      <c r="T84" s="419"/>
      <c r="U84" s="419"/>
      <c r="V84" s="419"/>
      <c r="W84" s="419"/>
      <c r="X84" s="419"/>
    </row>
    <row r="85" spans="2:35">
      <c r="B85" s="1248"/>
      <c r="F85" s="1249"/>
      <c r="G85" s="1249"/>
      <c r="H85" s="1249"/>
      <c r="I85" s="1249"/>
      <c r="J85" s="419"/>
      <c r="K85" s="419"/>
      <c r="N85" s="1249"/>
      <c r="O85" s="1249"/>
      <c r="P85" s="1249"/>
      <c r="Q85" s="1249"/>
      <c r="R85" s="419"/>
      <c r="S85" s="419"/>
      <c r="T85" s="419"/>
      <c r="U85" s="419"/>
      <c r="V85" s="419"/>
      <c r="W85" s="419"/>
      <c r="X85" s="419"/>
    </row>
    <row r="86" spans="2:35">
      <c r="B86" s="1248"/>
      <c r="F86" s="1249"/>
      <c r="G86" s="1249"/>
      <c r="H86" s="1249"/>
      <c r="I86" s="1249"/>
      <c r="J86" s="419"/>
      <c r="K86" s="419"/>
      <c r="N86" s="1249"/>
      <c r="O86" s="1249"/>
      <c r="P86" s="1249"/>
      <c r="Q86" s="1249"/>
      <c r="R86" s="419"/>
      <c r="S86" s="419"/>
      <c r="T86" s="419"/>
      <c r="U86" s="419"/>
      <c r="V86" s="419"/>
      <c r="W86" s="419"/>
      <c r="X86" s="419"/>
    </row>
    <row r="87" spans="2:35">
      <c r="B87" s="1248"/>
      <c r="F87" s="1249"/>
      <c r="G87" s="1249"/>
      <c r="H87" s="1249"/>
      <c r="I87" s="1249"/>
      <c r="J87" s="419"/>
      <c r="K87" s="419"/>
      <c r="N87" s="1249"/>
      <c r="O87" s="1249"/>
      <c r="P87" s="1249"/>
      <c r="Q87" s="1249"/>
      <c r="R87" s="419"/>
      <c r="S87" s="419"/>
      <c r="T87" s="419"/>
      <c r="U87" s="419"/>
      <c r="V87" s="419"/>
      <c r="W87" s="419"/>
      <c r="X87" s="419"/>
    </row>
    <row r="88" spans="2:35">
      <c r="B88" s="1248"/>
      <c r="F88" s="1249"/>
      <c r="G88" s="1249"/>
      <c r="H88" s="1249"/>
      <c r="I88" s="1249"/>
      <c r="J88" s="419"/>
      <c r="K88" s="419"/>
      <c r="N88" s="1249"/>
      <c r="O88" s="1249"/>
      <c r="P88" s="1249"/>
      <c r="Q88" s="1249"/>
      <c r="R88" s="419"/>
      <c r="S88" s="419"/>
      <c r="T88" s="419"/>
      <c r="U88" s="419"/>
      <c r="V88" s="419"/>
      <c r="W88" s="419"/>
      <c r="X88" s="419"/>
    </row>
    <row r="89" spans="2:35">
      <c r="B89" s="1248"/>
      <c r="F89" s="1249"/>
      <c r="G89" s="1249"/>
      <c r="H89" s="1249"/>
      <c r="I89" s="1249"/>
      <c r="J89" s="419"/>
      <c r="K89" s="419"/>
      <c r="N89" s="1249"/>
      <c r="O89" s="1249"/>
      <c r="P89" s="1249"/>
      <c r="Q89" s="1249"/>
      <c r="R89" s="419"/>
      <c r="S89" s="419"/>
      <c r="T89" s="419"/>
      <c r="U89" s="419"/>
      <c r="V89" s="419"/>
      <c r="W89" s="419"/>
      <c r="X89" s="419"/>
    </row>
    <row r="90" spans="2:35">
      <c r="B90" s="1248"/>
      <c r="F90" s="1249"/>
      <c r="G90" s="1249"/>
      <c r="H90" s="1249"/>
      <c r="I90" s="1249"/>
      <c r="J90" s="419"/>
      <c r="K90" s="419"/>
      <c r="N90" s="1249"/>
      <c r="O90" s="1249"/>
      <c r="P90" s="1249"/>
      <c r="Q90" s="1249"/>
      <c r="R90" s="419"/>
      <c r="S90" s="419"/>
      <c r="T90" s="419"/>
      <c r="U90" s="419"/>
      <c r="V90" s="419"/>
      <c r="W90" s="419"/>
      <c r="X90" s="419"/>
    </row>
    <row r="91" spans="2:35">
      <c r="B91" s="1248"/>
      <c r="F91" s="1249"/>
      <c r="G91" s="1249"/>
      <c r="H91" s="1249"/>
      <c r="I91" s="1249"/>
      <c r="J91" s="419"/>
      <c r="K91" s="419"/>
      <c r="N91" s="1249"/>
      <c r="O91" s="1249"/>
      <c r="P91" s="1249"/>
      <c r="Q91" s="1249"/>
      <c r="R91" s="419"/>
      <c r="S91" s="419"/>
      <c r="T91" s="419"/>
      <c r="U91" s="419"/>
      <c r="V91" s="419"/>
      <c r="W91" s="419"/>
      <c r="X91" s="419"/>
    </row>
    <row r="92" spans="2:35">
      <c r="B92" s="1248"/>
      <c r="F92" s="1249"/>
      <c r="G92" s="1249"/>
      <c r="H92" s="1249"/>
      <c r="I92" s="1249"/>
      <c r="J92" s="419"/>
      <c r="K92" s="419"/>
      <c r="N92" s="1249"/>
      <c r="O92" s="1249"/>
      <c r="P92" s="1249"/>
      <c r="Q92" s="1249"/>
      <c r="R92" s="419"/>
      <c r="S92" s="419"/>
      <c r="T92" s="419"/>
      <c r="U92" s="419"/>
      <c r="V92" s="419"/>
      <c r="W92" s="419"/>
      <c r="X92" s="419"/>
    </row>
    <row r="93" spans="2:35">
      <c r="B93" s="1248"/>
      <c r="F93" s="1249"/>
      <c r="G93" s="1249"/>
      <c r="H93" s="1249"/>
      <c r="I93" s="1249"/>
      <c r="J93" s="419"/>
      <c r="K93" s="419"/>
      <c r="N93" s="1249"/>
      <c r="O93" s="1249"/>
      <c r="P93" s="1249"/>
      <c r="Q93" s="1249"/>
      <c r="R93" s="419"/>
      <c r="S93" s="419"/>
      <c r="T93" s="419"/>
      <c r="U93" s="419"/>
      <c r="V93" s="419"/>
      <c r="W93" s="419"/>
      <c r="X93" s="419"/>
    </row>
    <row r="94" spans="2:35">
      <c r="B94" s="1248"/>
      <c r="F94" s="1249"/>
      <c r="G94" s="1249"/>
      <c r="H94" s="1249"/>
      <c r="I94" s="1249"/>
      <c r="J94" s="419"/>
      <c r="K94" s="419"/>
      <c r="N94" s="1249"/>
      <c r="O94" s="1249"/>
      <c r="P94" s="1249"/>
      <c r="Q94" s="1249"/>
      <c r="R94" s="419"/>
      <c r="S94" s="419"/>
      <c r="T94" s="419"/>
      <c r="U94" s="419"/>
      <c r="V94" s="419"/>
      <c r="W94" s="419"/>
      <c r="X94" s="419"/>
    </row>
    <row r="95" spans="2:35">
      <c r="B95" s="1248"/>
      <c r="F95" s="1249"/>
      <c r="G95" s="1249"/>
      <c r="H95" s="1249"/>
      <c r="I95" s="1249"/>
      <c r="J95" s="419"/>
      <c r="K95" s="419"/>
      <c r="N95" s="1249"/>
      <c r="O95" s="1249"/>
      <c r="P95" s="1249"/>
      <c r="Q95" s="1249"/>
      <c r="R95" s="419"/>
      <c r="S95" s="419"/>
      <c r="T95" s="419"/>
      <c r="U95" s="419"/>
      <c r="V95" s="419"/>
      <c r="W95" s="419"/>
      <c r="X95" s="419"/>
    </row>
    <row r="96" spans="2:35">
      <c r="B96" s="1248"/>
      <c r="F96" s="1249"/>
      <c r="G96" s="1249"/>
      <c r="H96" s="1249"/>
      <c r="I96" s="1249"/>
      <c r="J96" s="419"/>
      <c r="K96" s="419"/>
      <c r="N96" s="1249"/>
      <c r="O96" s="1249"/>
      <c r="P96" s="1249"/>
      <c r="Q96" s="1249"/>
      <c r="R96" s="419"/>
      <c r="S96" s="419"/>
      <c r="T96" s="419"/>
      <c r="U96" s="419"/>
      <c r="V96" s="419"/>
      <c r="W96" s="419"/>
      <c r="X96" s="419"/>
    </row>
    <row r="97" spans="2:24">
      <c r="B97" s="1248"/>
      <c r="F97" s="1249"/>
      <c r="G97" s="1249"/>
      <c r="H97" s="1249"/>
      <c r="I97" s="1249"/>
      <c r="J97" s="419"/>
      <c r="K97" s="419"/>
      <c r="N97" s="1249"/>
      <c r="O97" s="1249"/>
      <c r="P97" s="1249"/>
      <c r="Q97" s="1249"/>
      <c r="R97" s="419"/>
      <c r="S97" s="419"/>
      <c r="T97" s="419"/>
      <c r="U97" s="419"/>
      <c r="V97" s="419"/>
      <c r="W97" s="419"/>
      <c r="X97" s="419"/>
    </row>
    <row r="98" spans="2:24">
      <c r="B98" s="1248"/>
      <c r="F98" s="1249"/>
      <c r="G98" s="1249"/>
      <c r="H98" s="1249"/>
      <c r="I98" s="1249"/>
      <c r="J98" s="419"/>
      <c r="K98" s="419"/>
      <c r="N98" s="1249"/>
      <c r="O98" s="1249"/>
      <c r="P98" s="1249"/>
      <c r="Q98" s="1249"/>
      <c r="R98" s="419"/>
      <c r="S98" s="419"/>
      <c r="T98" s="419"/>
      <c r="U98" s="419"/>
      <c r="V98" s="419"/>
      <c r="W98" s="419"/>
      <c r="X98" s="419"/>
    </row>
    <row r="99" spans="2:24">
      <c r="B99" s="1248"/>
      <c r="F99" s="1249"/>
      <c r="G99" s="1249"/>
      <c r="H99" s="1249"/>
      <c r="I99" s="1249"/>
      <c r="J99" s="419"/>
      <c r="K99" s="419"/>
      <c r="N99" s="1249"/>
      <c r="O99" s="1249"/>
      <c r="P99" s="1249"/>
      <c r="Q99" s="1249"/>
      <c r="R99" s="419"/>
      <c r="S99" s="419"/>
      <c r="T99" s="419"/>
      <c r="U99" s="419"/>
      <c r="V99" s="419"/>
      <c r="W99" s="419"/>
      <c r="X99" s="419"/>
    </row>
    <row r="100" spans="2:24">
      <c r="B100" s="1248"/>
      <c r="F100" s="1249"/>
      <c r="G100" s="1249"/>
      <c r="H100" s="1249"/>
      <c r="I100" s="1249"/>
      <c r="J100" s="419"/>
      <c r="K100" s="419"/>
      <c r="N100" s="1249"/>
      <c r="O100" s="1249"/>
      <c r="P100" s="1249"/>
      <c r="Q100" s="1249"/>
      <c r="R100" s="419"/>
      <c r="S100" s="419"/>
      <c r="T100" s="419"/>
      <c r="U100" s="419"/>
      <c r="V100" s="419"/>
      <c r="W100" s="419"/>
      <c r="X100" s="419"/>
    </row>
    <row r="101" spans="2:24">
      <c r="B101" s="1248"/>
      <c r="F101" s="1249"/>
      <c r="G101" s="1249"/>
      <c r="H101" s="1249"/>
      <c r="I101" s="1249"/>
      <c r="J101" s="419"/>
      <c r="K101" s="419"/>
      <c r="N101" s="1249"/>
      <c r="O101" s="1249"/>
      <c r="P101" s="1249"/>
      <c r="Q101" s="1249"/>
      <c r="R101" s="419"/>
      <c r="S101" s="419"/>
      <c r="T101" s="419"/>
      <c r="U101" s="419"/>
      <c r="V101" s="419"/>
      <c r="W101" s="419"/>
      <c r="X101" s="419"/>
    </row>
    <row r="102" spans="2:24">
      <c r="B102" s="1248"/>
      <c r="F102" s="1249"/>
      <c r="G102" s="1249"/>
      <c r="H102" s="1249"/>
      <c r="I102" s="1249"/>
      <c r="J102" s="419"/>
      <c r="K102" s="419"/>
      <c r="N102" s="1249"/>
      <c r="O102" s="1249"/>
      <c r="P102" s="1249"/>
      <c r="Q102" s="1249"/>
      <c r="R102" s="419"/>
      <c r="S102" s="419"/>
      <c r="T102" s="419"/>
      <c r="U102" s="419"/>
      <c r="V102" s="419"/>
      <c r="W102" s="419"/>
      <c r="X102" s="419"/>
    </row>
    <row r="103" spans="2:24">
      <c r="B103" s="1248"/>
      <c r="F103" s="1249"/>
      <c r="G103" s="1249"/>
      <c r="H103" s="1249"/>
      <c r="I103" s="1249"/>
      <c r="J103" s="419"/>
      <c r="K103" s="419"/>
      <c r="N103" s="1249"/>
      <c r="O103" s="1249"/>
      <c r="P103" s="1249"/>
      <c r="Q103" s="1249"/>
      <c r="R103" s="419"/>
      <c r="S103" s="419"/>
      <c r="T103" s="419"/>
      <c r="U103" s="419"/>
      <c r="V103" s="419"/>
      <c r="W103" s="419"/>
      <c r="X103" s="419"/>
    </row>
    <row r="104" spans="2:24">
      <c r="B104" s="1248"/>
      <c r="F104" s="1249"/>
      <c r="G104" s="1249"/>
      <c r="H104" s="1249"/>
      <c r="I104" s="1249"/>
      <c r="J104" s="419"/>
      <c r="K104" s="419"/>
      <c r="N104" s="1249"/>
      <c r="O104" s="1249"/>
      <c r="P104" s="1249"/>
      <c r="Q104" s="1249"/>
      <c r="R104" s="419"/>
      <c r="S104" s="419"/>
      <c r="T104" s="419"/>
      <c r="U104" s="419"/>
      <c r="V104" s="419"/>
      <c r="W104" s="419"/>
      <c r="X104" s="419"/>
    </row>
    <row r="105" spans="2:24">
      <c r="B105" s="1248"/>
      <c r="F105" s="1249"/>
      <c r="G105" s="1249"/>
      <c r="H105" s="1249"/>
      <c r="I105" s="1249"/>
      <c r="J105" s="419"/>
      <c r="K105" s="419"/>
      <c r="N105" s="1249"/>
      <c r="O105" s="1249"/>
      <c r="P105" s="1249"/>
      <c r="Q105" s="1249"/>
      <c r="R105" s="419"/>
      <c r="S105" s="419"/>
      <c r="T105" s="419"/>
      <c r="U105" s="419"/>
      <c r="V105" s="419"/>
      <c r="W105" s="419"/>
      <c r="X105" s="419"/>
    </row>
    <row r="106" spans="2:24">
      <c r="B106" s="1248"/>
      <c r="F106" s="1249"/>
      <c r="G106" s="1249"/>
      <c r="H106" s="1249"/>
      <c r="I106" s="1249"/>
      <c r="J106" s="419"/>
      <c r="K106" s="419"/>
      <c r="N106" s="1249"/>
      <c r="O106" s="1249"/>
      <c r="P106" s="1249"/>
      <c r="Q106" s="1249"/>
      <c r="R106" s="419"/>
      <c r="S106" s="419"/>
      <c r="T106" s="419"/>
      <c r="U106" s="419"/>
      <c r="V106" s="419"/>
      <c r="W106" s="419"/>
      <c r="X106" s="419"/>
    </row>
    <row r="107" spans="2:24">
      <c r="E107" s="1226"/>
      <c r="J107" s="419"/>
      <c r="K107" s="419"/>
      <c r="M107" s="1226"/>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6" t="s">
        <v>556</v>
      </c>
      <c r="B4" s="1802" t="s">
        <v>557</v>
      </c>
      <c r="C4" s="579">
        <v>0.5</v>
      </c>
      <c r="D4" s="116">
        <v>2030</v>
      </c>
      <c r="E4" s="579">
        <f>C4</f>
        <v>0.5</v>
      </c>
      <c r="F4" s="116">
        <f>2017+5</f>
        <v>2022</v>
      </c>
      <c r="G4" s="579">
        <f>E4</f>
        <v>0.5</v>
      </c>
      <c r="H4" s="116">
        <f>F4</f>
        <v>2022</v>
      </c>
      <c r="J4" s="99"/>
      <c r="K4" s="99"/>
    </row>
    <row r="5" spans="1:11">
      <c r="A5" s="1817"/>
      <c r="B5" s="1803"/>
      <c r="C5" s="575">
        <v>0.65</v>
      </c>
      <c r="D5" s="130">
        <v>2040</v>
      </c>
      <c r="E5" s="575">
        <f t="shared" ref="E5:E6" si="0">C5</f>
        <v>0.65</v>
      </c>
      <c r="F5" s="130">
        <f>2017+10</f>
        <v>2027</v>
      </c>
      <c r="G5" s="575">
        <f t="shared" ref="G5:G6" si="1">E5</f>
        <v>0.65</v>
      </c>
      <c r="H5" s="130">
        <f t="shared" ref="H5:H6" si="2">F5</f>
        <v>2027</v>
      </c>
      <c r="J5" s="99"/>
      <c r="K5" s="99"/>
    </row>
    <row r="6" spans="1:11" ht="15.75" thickBot="1">
      <c r="A6" s="1818"/>
      <c r="B6" s="1804"/>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591"/>
      <c r="B28" s="59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3"/>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4"/>
      <c r="E57" s="1304"/>
      <c r="F57" s="1304"/>
      <c r="G57" s="1304"/>
      <c r="H57" s="1304"/>
      <c r="I57" s="1304"/>
      <c r="J57" s="3"/>
      <c r="K57" s="3"/>
      <c r="L57" s="3"/>
      <c r="M57" s="3"/>
      <c r="N57" s="3"/>
    </row>
    <row r="58" spans="1:45"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row>
    <row r="59" spans="1:45" ht="15.75">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AE59" s="1333"/>
      <c r="AF59" s="1333"/>
      <c r="AG59" s="198"/>
      <c r="AH59" s="198"/>
      <c r="AI59" s="198"/>
      <c r="AJ59" s="99"/>
      <c r="AK59" s="99"/>
      <c r="AL59" s="99"/>
      <c r="AM59" s="1334"/>
      <c r="AN59" s="99"/>
      <c r="AO59" s="1335"/>
      <c r="AP59" s="1335"/>
      <c r="AQ59" s="1335"/>
      <c r="AR59" s="99"/>
      <c r="AS59" s="99"/>
    </row>
    <row r="60" spans="1:45">
      <c r="A60" s="1311" t="s">
        <v>334</v>
      </c>
      <c r="B60" s="1308" t="s">
        <v>335</v>
      </c>
      <c r="C60" s="1312">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4">
        <f>'Input data'!N14</f>
        <v>4821430</v>
      </c>
      <c r="AE60" s="1336"/>
      <c r="AF60" s="1337"/>
      <c r="AG60" s="1337"/>
      <c r="AH60" s="1337"/>
      <c r="AI60" s="1337"/>
      <c r="AJ60" s="1337"/>
      <c r="AK60" s="1337"/>
      <c r="AL60" s="1337"/>
      <c r="AM60" s="1338"/>
      <c r="AN60" s="158"/>
      <c r="AO60" s="158"/>
      <c r="AP60" s="158"/>
      <c r="AQ60" s="158"/>
      <c r="AR60" s="158"/>
      <c r="AS60" s="99"/>
    </row>
    <row r="61" spans="1:45">
      <c r="A61" s="1311" t="s">
        <v>336</v>
      </c>
      <c r="B61" s="1308" t="s">
        <v>337</v>
      </c>
      <c r="C61" s="1312">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4">
        <f>'Input data'!N15</f>
        <v>360884</v>
      </c>
      <c r="AE61" s="1336"/>
      <c r="AF61" s="1337"/>
      <c r="AG61" s="1337"/>
      <c r="AH61" s="1339"/>
      <c r="AI61" s="1339"/>
      <c r="AJ61" s="1339"/>
      <c r="AK61" s="1339"/>
      <c r="AL61" s="1339"/>
      <c r="AM61" s="1339"/>
      <c r="AN61" s="158"/>
      <c r="AO61" s="158"/>
      <c r="AP61" s="158"/>
      <c r="AQ61" s="158"/>
      <c r="AR61" s="158"/>
      <c r="AS61" s="99"/>
    </row>
    <row r="62" spans="1:45" ht="15.75">
      <c r="A62" s="1311" t="s">
        <v>338</v>
      </c>
      <c r="B62" s="1308" t="s">
        <v>339</v>
      </c>
      <c r="C62" s="1312">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4">
        <f>'Input data'!N16</f>
        <v>1756686.4765390735</v>
      </c>
      <c r="AE62" s="1340"/>
      <c r="AF62" s="1340"/>
      <c r="AG62" s="1341"/>
      <c r="AH62" s="1341"/>
      <c r="AI62" s="1341"/>
      <c r="AJ62" s="1341"/>
      <c r="AK62" s="1341"/>
      <c r="AL62" s="1341"/>
      <c r="AM62" s="1341"/>
      <c r="AN62" s="1341"/>
      <c r="AO62" s="1341"/>
      <c r="AP62" s="1341"/>
      <c r="AQ62" s="1341"/>
      <c r="AR62" s="1341"/>
      <c r="AS62" s="99"/>
    </row>
    <row r="63" spans="1:45">
      <c r="A63" s="1311" t="s">
        <v>338</v>
      </c>
      <c r="B63" s="1308" t="s">
        <v>340</v>
      </c>
      <c r="C63" s="1312">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4">
        <f>'Input data'!N17</f>
        <v>6573316.2259999998</v>
      </c>
      <c r="AE63" s="340"/>
      <c r="AF63" s="340"/>
      <c r="AG63" s="1337"/>
      <c r="AH63" s="1337"/>
      <c r="AI63" s="1337"/>
      <c r="AJ63" s="1337"/>
      <c r="AK63" s="1337"/>
      <c r="AL63" s="1337"/>
      <c r="AM63" s="1337"/>
      <c r="AN63" s="1337"/>
      <c r="AO63" s="1337"/>
      <c r="AP63" s="1337"/>
      <c r="AQ63" s="1337"/>
      <c r="AR63" s="1337"/>
      <c r="AS63" s="99"/>
    </row>
    <row r="64" spans="1:45">
      <c r="A64" s="1311" t="s">
        <v>341</v>
      </c>
      <c r="B64" s="1308" t="s">
        <v>342</v>
      </c>
      <c r="C64" s="1312">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4">
        <f>'Input data'!N18</f>
        <v>6700000</v>
      </c>
      <c r="AE64" s="292"/>
      <c r="AF64" s="340"/>
      <c r="AG64" s="1337"/>
      <c r="AH64" s="1337"/>
      <c r="AI64" s="1337"/>
      <c r="AJ64" s="1337"/>
      <c r="AK64" s="1337"/>
      <c r="AL64" s="1337"/>
      <c r="AM64" s="1337"/>
      <c r="AN64" s="1337"/>
      <c r="AO64" s="1337"/>
      <c r="AP64" s="1337"/>
      <c r="AQ64" s="1337"/>
      <c r="AR64" s="1337"/>
      <c r="AS64" s="99"/>
    </row>
    <row r="65" spans="1:71">
      <c r="A65" s="1313"/>
      <c r="B65" s="1314" t="s">
        <v>343</v>
      </c>
      <c r="C65" s="1312">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4">
        <f>'Input data'!N19</f>
        <v>23980178.792267412</v>
      </c>
      <c r="AE65" s="292"/>
      <c r="AF65" s="340"/>
      <c r="AG65" s="1337"/>
      <c r="AH65" s="1337"/>
      <c r="AI65" s="1337"/>
      <c r="AJ65" s="1337"/>
      <c r="AK65" s="1337"/>
      <c r="AL65" s="1337"/>
      <c r="AM65" s="1337"/>
      <c r="AN65" s="1337"/>
      <c r="AO65" s="1337"/>
      <c r="AP65" s="1337"/>
      <c r="AQ65" s="1337"/>
      <c r="AR65" s="1337"/>
      <c r="AS65" s="99"/>
    </row>
    <row r="66" spans="1:71" ht="15.75">
      <c r="A66" s="1313"/>
      <c r="B66" s="1315" t="s">
        <v>496</v>
      </c>
      <c r="C66" s="1312">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4">
        <f>'Input data'!N20</f>
        <v>11144031.473749338</v>
      </c>
      <c r="AE66" s="292"/>
      <c r="AF66" s="340"/>
      <c r="AG66" s="1337"/>
      <c r="AH66" s="1337"/>
      <c r="AI66" s="1337"/>
      <c r="AJ66" s="1337"/>
      <c r="AK66" s="1337"/>
      <c r="AL66" s="1337"/>
      <c r="AM66" s="1337"/>
      <c r="AN66" s="1337"/>
      <c r="AO66" s="1337"/>
      <c r="AP66" s="1337"/>
      <c r="AQ66" s="1337"/>
      <c r="AR66" s="1337"/>
      <c r="AS66" s="99"/>
    </row>
    <row r="67" spans="1:71" ht="16.5" thickBot="1">
      <c r="A67" s="1313"/>
      <c r="B67" s="1315" t="s">
        <v>737</v>
      </c>
      <c r="C67" s="1312">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4">
        <f>'Input data'!N21</f>
        <v>2912831.0925180763</v>
      </c>
      <c r="AE67" s="292"/>
      <c r="AF67" s="340"/>
      <c r="AG67" s="1337"/>
      <c r="AH67" s="1337"/>
      <c r="AI67" s="1337"/>
      <c r="AJ67" s="1337"/>
      <c r="AK67" s="1337"/>
      <c r="AL67" s="1337"/>
      <c r="AM67" s="1337"/>
      <c r="AN67" s="1337"/>
      <c r="AO67" s="1337"/>
      <c r="AP67" s="1337"/>
      <c r="AQ67" s="1337"/>
      <c r="AR67" s="1337"/>
      <c r="AS67" s="99"/>
    </row>
    <row r="68" spans="1:71"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AE68" s="292"/>
      <c r="AF68" s="340"/>
      <c r="AG68" s="1337"/>
      <c r="AH68" s="1337"/>
      <c r="AI68" s="1337"/>
      <c r="AJ68" s="1337"/>
      <c r="AK68" s="1337"/>
      <c r="AL68" s="1337"/>
      <c r="AM68" s="1337"/>
      <c r="AN68" s="1337"/>
      <c r="AO68" s="1337"/>
      <c r="AP68" s="1337"/>
      <c r="AQ68" s="1337"/>
      <c r="AR68" s="1337"/>
      <c r="AS68" s="99"/>
    </row>
    <row r="69" spans="1:71" ht="15.75">
      <c r="A69" s="1313"/>
      <c r="B69" s="1317"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2"/>
      <c r="AG69" s="1337"/>
      <c r="AH69" s="1337"/>
      <c r="AI69" s="1337"/>
      <c r="AJ69" s="1337"/>
      <c r="AK69" s="1337"/>
      <c r="AL69" s="1337"/>
      <c r="AM69" s="1337"/>
      <c r="AN69" s="1337"/>
      <c r="AO69" s="1337"/>
      <c r="AP69" s="1337"/>
      <c r="AQ69" s="1337"/>
      <c r="AR69" s="1337"/>
      <c r="AS69" s="99"/>
    </row>
    <row r="70" spans="1:71" ht="15.75">
      <c r="A70" s="1311" t="s">
        <v>334</v>
      </c>
      <c r="B70" s="1317"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3"/>
      <c r="AG70" s="1337"/>
      <c r="AH70" s="1337"/>
      <c r="AI70" s="1337"/>
      <c r="AJ70" s="1337"/>
      <c r="AK70" s="1337"/>
      <c r="AL70" s="1337"/>
      <c r="AM70" s="1337"/>
      <c r="AN70" s="1337"/>
      <c r="AO70" s="1337"/>
      <c r="AP70" s="1337"/>
      <c r="AQ70" s="1337"/>
      <c r="AR70" s="1337"/>
      <c r="AS70" s="99"/>
    </row>
    <row r="71" spans="1:71" ht="15.75">
      <c r="A71" s="1311" t="s">
        <v>336</v>
      </c>
      <c r="B71" s="1317"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3"/>
      <c r="AG71" s="1337"/>
      <c r="AH71" s="1337"/>
      <c r="AI71" s="1337"/>
      <c r="AJ71" s="1337"/>
      <c r="AK71" s="1337"/>
      <c r="AL71" s="1337"/>
      <c r="AM71" s="1337"/>
      <c r="AN71" s="1337"/>
      <c r="AO71" s="1337"/>
      <c r="AP71" s="1337"/>
      <c r="AQ71" s="1337"/>
      <c r="AR71" s="1337"/>
      <c r="AS71" s="99"/>
    </row>
    <row r="72" spans="1:71" ht="15.75">
      <c r="A72" s="1311" t="s">
        <v>338</v>
      </c>
      <c r="B72" s="1317"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0"/>
      <c r="AG72" s="1344"/>
      <c r="AH72" s="1344"/>
      <c r="AI72" s="1344"/>
      <c r="AJ72" s="1344"/>
      <c r="AK72" s="1344"/>
      <c r="AL72" s="1344"/>
      <c r="AM72" s="1344"/>
      <c r="AN72" s="1344"/>
      <c r="AO72" s="1344"/>
      <c r="AP72" s="1344"/>
      <c r="AQ72" s="1344"/>
      <c r="AR72" s="1345"/>
      <c r="AS72" s="99"/>
    </row>
    <row r="73" spans="1:71" ht="15.75">
      <c r="A73" s="1311" t="s">
        <v>338</v>
      </c>
      <c r="B73" s="1317"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1" t="s">
        <v>341</v>
      </c>
      <c r="B74" s="1317"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3"/>
      <c r="B75" s="1315"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6"/>
      <c r="BK75" s="1866"/>
      <c r="BL75" s="1866"/>
      <c r="BM75" s="1866"/>
      <c r="BN75" s="1866"/>
      <c r="BO75" s="1866"/>
      <c r="BP75" s="1866"/>
      <c r="BQ75" s="1866"/>
      <c r="BR75" s="99"/>
      <c r="BS75" s="99"/>
    </row>
    <row r="76" spans="1:71" ht="15.75">
      <c r="A76" s="1313"/>
      <c r="B76" s="1315"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18"/>
      <c r="B77" s="1319" t="s">
        <v>738</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AE79" s="99"/>
      <c r="AF79" s="1343"/>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AE80" s="99"/>
      <c r="AF80" s="1343"/>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3"/>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2"/>
      <c r="AF82" s="1332"/>
      <c r="AG82" s="198"/>
      <c r="AH82" s="1346"/>
      <c r="AI82" s="1346"/>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2"/>
      <c r="AF83" s="1332"/>
      <c r="AG83" s="198"/>
      <c r="AH83" s="1346"/>
      <c r="AI83" s="1346"/>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2"/>
      <c r="AF84" s="1332"/>
      <c r="AG84" s="198"/>
      <c r="AH84" s="1346"/>
      <c r="AI84" s="1346"/>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2"/>
      <c r="AF85" s="1332"/>
      <c r="AG85" s="198"/>
      <c r="AH85" s="1346"/>
      <c r="AI85" s="1346"/>
      <c r="AJ85" s="99"/>
      <c r="AK85" s="99"/>
      <c r="AL85" s="99"/>
      <c r="AM85" s="99"/>
      <c r="AN85" s="99"/>
      <c r="AO85" s="99"/>
      <c r="AP85" s="99"/>
      <c r="AQ85" s="99"/>
      <c r="AR85" s="99"/>
      <c r="AS85" s="99"/>
    </row>
    <row r="86" spans="1:91" ht="15.7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2"/>
      <c r="AF86" s="1332"/>
      <c r="AG86" s="198"/>
      <c r="AH86" s="1346"/>
      <c r="AI86" s="1346"/>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3" t="s">
        <v>602</v>
      </c>
      <c r="B94" s="1874"/>
      <c r="C94" s="1874"/>
      <c r="D94" s="1875"/>
      <c r="E94" s="1870" t="s">
        <v>600</v>
      </c>
      <c r="F94" s="1871"/>
      <c r="G94" s="1872"/>
      <c r="H94" s="1876" t="s">
        <v>601</v>
      </c>
      <c r="I94" s="1877"/>
      <c r="J94" s="1877"/>
      <c r="K94" s="1878"/>
      <c r="L94" s="1879" t="s">
        <v>598</v>
      </c>
      <c r="M94" s="1880"/>
      <c r="N94" s="1880"/>
      <c r="O94" s="1880"/>
      <c r="P94" s="1881"/>
      <c r="Q94" s="1894" t="s">
        <v>775</v>
      </c>
      <c r="R94" s="1880"/>
      <c r="S94" s="1880"/>
      <c r="T94" s="1880"/>
      <c r="U94" s="1881"/>
      <c r="V94" s="1799" t="s">
        <v>756</v>
      </c>
      <c r="W94" s="1781" t="s">
        <v>608</v>
      </c>
      <c r="X94" s="1882"/>
      <c r="Y94" s="1883" t="s">
        <v>594</v>
      </c>
      <c r="Z94" s="1842" t="s">
        <v>763</v>
      </c>
      <c r="AA94" s="1842" t="s">
        <v>771</v>
      </c>
      <c r="AB94" s="1840" t="s">
        <v>773</v>
      </c>
      <c r="AC94" s="1838" t="s">
        <v>781</v>
      </c>
      <c r="AD94" s="1840" t="s">
        <v>773</v>
      </c>
      <c r="AE94" s="1840" t="s">
        <v>772</v>
      </c>
      <c r="AF94" s="1856" t="s">
        <v>774</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734</v>
      </c>
      <c r="BN94" s="1707"/>
      <c r="BO94" s="1707"/>
      <c r="BP94" s="1707"/>
      <c r="BQ94" s="1707"/>
      <c r="BR94" s="1707"/>
      <c r="BS94" s="1707"/>
      <c r="BT94" s="1708"/>
      <c r="BV94" s="1793" t="s">
        <v>635</v>
      </c>
      <c r="BW94" s="1794"/>
      <c r="BX94" s="1909"/>
      <c r="BY94" s="1793" t="s">
        <v>638</v>
      </c>
      <c r="BZ94" s="1794"/>
      <c r="CA94" s="1795"/>
      <c r="CB94" s="1908" t="s">
        <v>636</v>
      </c>
      <c r="CC94" s="1907"/>
      <c r="CD94" s="1906" t="s">
        <v>639</v>
      </c>
      <c r="CE94" s="1907"/>
      <c r="CG94" s="1898" t="s">
        <v>735</v>
      </c>
      <c r="CH94" s="1899"/>
      <c r="CI94" s="1899"/>
      <c r="CJ94" s="1899"/>
      <c r="CK94" s="1899"/>
      <c r="CL94" s="1899"/>
      <c r="CM94" s="1900"/>
    </row>
    <row r="95" spans="1:91" s="10" customFormat="1" ht="42.6" customHeight="1" thickBot="1">
      <c r="A95" s="1868" t="s">
        <v>217</v>
      </c>
      <c r="B95" s="1582" t="s">
        <v>218</v>
      </c>
      <c r="C95" s="1582" t="s">
        <v>390</v>
      </c>
      <c r="D95" s="1562" t="s">
        <v>500</v>
      </c>
      <c r="E95" s="1583" t="s">
        <v>501</v>
      </c>
      <c r="F95" s="1584" t="s">
        <v>504</v>
      </c>
      <c r="G95" s="1585" t="s">
        <v>528</v>
      </c>
      <c r="H95" s="1586" t="s">
        <v>478</v>
      </c>
      <c r="I95" s="1587" t="s">
        <v>288</v>
      </c>
      <c r="J95" s="1588" t="s">
        <v>766</v>
      </c>
      <c r="K95" s="1589" t="s">
        <v>596</v>
      </c>
      <c r="L95" s="1590" t="s">
        <v>87</v>
      </c>
      <c r="M95" s="1591" t="s">
        <v>323</v>
      </c>
      <c r="N95" s="1591" t="s">
        <v>324</v>
      </c>
      <c r="O95" s="1591" t="s">
        <v>325</v>
      </c>
      <c r="P95" s="1592" t="s">
        <v>582</v>
      </c>
      <c r="Q95" s="1593" t="s">
        <v>87</v>
      </c>
      <c r="R95" s="1591" t="s">
        <v>323</v>
      </c>
      <c r="S95" s="1591" t="s">
        <v>324</v>
      </c>
      <c r="T95" s="1591" t="s">
        <v>325</v>
      </c>
      <c r="U95" s="1594" t="s">
        <v>582</v>
      </c>
      <c r="V95" s="1893"/>
      <c r="W95" s="1595" t="s">
        <v>605</v>
      </c>
      <c r="X95" s="1641" t="s">
        <v>576</v>
      </c>
      <c r="Y95" s="1884"/>
      <c r="Z95" s="1843"/>
      <c r="AA95" s="1843"/>
      <c r="AB95" s="1841"/>
      <c r="AC95" s="1839"/>
      <c r="AD95" s="1841"/>
      <c r="AE95" s="1841"/>
      <c r="AF95" s="1857"/>
      <c r="AG95" s="1092" t="s">
        <v>473</v>
      </c>
      <c r="AH95" s="1580" t="s">
        <v>489</v>
      </c>
      <c r="AI95" s="1580" t="s">
        <v>807</v>
      </c>
      <c r="AJ95" s="1580" t="s">
        <v>377</v>
      </c>
      <c r="AK95" s="1580" t="s">
        <v>225</v>
      </c>
      <c r="AL95" s="713" t="s">
        <v>591</v>
      </c>
      <c r="AM95" s="1579" t="s">
        <v>473</v>
      </c>
      <c r="AN95" s="1580" t="s">
        <v>489</v>
      </c>
      <c r="AO95" s="1580" t="s">
        <v>376</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1" t="s">
        <v>531</v>
      </c>
      <c r="BW95" s="1252" t="s">
        <v>624</v>
      </c>
      <c r="BX95" s="1253" t="str">
        <f>D135</f>
        <v xml:space="preserve">Coal ash generated - ‘IRP realistic’ </v>
      </c>
      <c r="BY95" s="1251" t="s">
        <v>531</v>
      </c>
      <c r="BZ95" s="1252" t="s">
        <v>624</v>
      </c>
      <c r="CA95" s="1254" t="s">
        <v>630</v>
      </c>
      <c r="CB95" s="1255" t="s">
        <v>267</v>
      </c>
      <c r="CC95" s="1256" t="s">
        <v>633</v>
      </c>
      <c r="CD95" s="1257" t="s">
        <v>267</v>
      </c>
      <c r="CE95" s="1256" t="s">
        <v>633</v>
      </c>
      <c r="CF95"/>
      <c r="CG95" s="1258" t="s">
        <v>87</v>
      </c>
      <c r="CH95" s="1259" t="s">
        <v>323</v>
      </c>
      <c r="CI95" s="1259" t="s">
        <v>324</v>
      </c>
      <c r="CJ95" s="1259" t="s">
        <v>325</v>
      </c>
      <c r="CK95" s="1260" t="s">
        <v>582</v>
      </c>
      <c r="CL95" s="1259" t="s">
        <v>303</v>
      </c>
      <c r="CM95" s="1901" t="s">
        <v>736</v>
      </c>
    </row>
    <row r="96" spans="1:91" ht="16.5" thickBot="1">
      <c r="A96" s="1869"/>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1472" t="s">
        <v>229</v>
      </c>
      <c r="X96" s="1642" t="s">
        <v>228</v>
      </c>
      <c r="Y96" s="709" t="s">
        <v>228</v>
      </c>
      <c r="Z96" s="1644" t="s">
        <v>228</v>
      </c>
      <c r="AA96" s="1644" t="s">
        <v>228</v>
      </c>
      <c r="AB96" s="1892"/>
      <c r="AC96" s="1839"/>
      <c r="AD96" s="1892"/>
      <c r="AE96" s="1644" t="s">
        <v>28</v>
      </c>
      <c r="AF96" s="1645" t="s">
        <v>3</v>
      </c>
      <c r="AG96" s="1643"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153" t="s">
        <v>625</v>
      </c>
      <c r="BW96" s="1154" t="s">
        <v>229</v>
      </c>
      <c r="BX96" s="1483" t="s">
        <v>625</v>
      </c>
      <c r="BY96" s="1153" t="s">
        <v>625</v>
      </c>
      <c r="BZ96" s="1154" t="s">
        <v>229</v>
      </c>
      <c r="CA96" s="1155" t="s">
        <v>625</v>
      </c>
      <c r="CB96" s="1476" t="s">
        <v>229</v>
      </c>
      <c r="CC96" s="1477" t="s">
        <v>229</v>
      </c>
      <c r="CD96" s="1478" t="s">
        <v>229</v>
      </c>
      <c r="CE96" s="1477" t="s">
        <v>229</v>
      </c>
      <c r="CG96" s="1267" t="s">
        <v>228</v>
      </c>
      <c r="CH96" s="1267" t="s">
        <v>228</v>
      </c>
      <c r="CI96" s="1267" t="s">
        <v>228</v>
      </c>
      <c r="CJ96" s="1267" t="s">
        <v>228</v>
      </c>
      <c r="CK96" s="1267" t="s">
        <v>228</v>
      </c>
      <c r="CL96" s="1267" t="s">
        <v>228</v>
      </c>
      <c r="CM96" s="1902"/>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10">SUM(Q97:U97)</f>
        <v>0</v>
      </c>
      <c r="W97" s="708">
        <v>0</v>
      </c>
      <c r="X97" s="1467">
        <f>W97*($C$76+$D$76)*$B$10*$I$97</f>
        <v>0</v>
      </c>
      <c r="Y97" s="528">
        <f>X97+V97</f>
        <v>0</v>
      </c>
      <c r="Z97" s="528">
        <f>$J$97-Y97</f>
        <v>11144.031481960794</v>
      </c>
      <c r="AA97" s="530">
        <f>Z97-J97</f>
        <v>0</v>
      </c>
      <c r="AB97" s="1091">
        <f>AA97/Z97</f>
        <v>0</v>
      </c>
      <c r="AC97" s="1489"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1552">
        <f>'Input data'!D118</f>
        <v>50359792.847133137</v>
      </c>
      <c r="E98" s="1454">
        <f t="shared" ref="E98:E129" si="29">($E$130-$E$97)/($A$130-$A$97)+E97</f>
        <v>0.72344242424242422</v>
      </c>
      <c r="F98" s="1504">
        <f t="shared" ref="F98:F129" si="30">($F$130-$F$97)/($A$130-$A$97)+F97</f>
        <v>0.29195303030303027</v>
      </c>
      <c r="G98" s="1509">
        <f>B98*F98*'Input data'!$C$9</f>
        <v>513.23849841295737</v>
      </c>
      <c r="H98" s="1508">
        <f>'Input data'!I118</f>
        <v>424.26313389388866</v>
      </c>
      <c r="I98" s="1509">
        <f>'Input data'!K118</f>
        <v>24367.977620226877</v>
      </c>
      <c r="J98" s="1509">
        <f>$J$97*(1+(($J$110/$J$97)^(1/($A$110-$A$97))-1))^(A98-$A$97)</f>
        <v>10565.405667134863</v>
      </c>
      <c r="K98" s="1511">
        <f>I98*$B$10-J98</f>
        <v>758.84307612277735</v>
      </c>
      <c r="L98" s="1504">
        <f t="shared" ref="L98:L106" si="31">($L$110-$L$97)/($A$110-$A$97)+L97</f>
        <v>0.57999999999999996</v>
      </c>
      <c r="M98" s="1504">
        <f t="shared" ref="M98:M106" si="32">($M$110-$M$97)/($A$110-$A$97)+M97</f>
        <v>0.437</v>
      </c>
      <c r="N98" s="1504">
        <f t="shared" ref="N98:N106" si="33">($N$110-$N$97)/($A$110-$A$97)+N97</f>
        <v>0.71200000000000008</v>
      </c>
      <c r="O98" s="1504">
        <f t="shared" ref="O98:O106" si="34">($O$110-$O$97)/($A$110-$A$97)+O97</f>
        <v>0.8</v>
      </c>
      <c r="P98" s="1504">
        <f t="shared" ref="P98:P109" si="35">($P$110-$P$97)/($A$110-$A$97)+P97</f>
        <v>0.23600000000000002</v>
      </c>
      <c r="Q98" s="1508">
        <f t="shared" ref="Q98:Q130" si="36">H98*$E$75*L98*B98-H98*$E$75*$L$97*B98</f>
        <v>0</v>
      </c>
      <c r="R98" s="1509">
        <f t="shared" ref="R98:R130" si="37">H98*$J$75*M98*B98-H98*$J$75*$M$97*B98</f>
        <v>0</v>
      </c>
      <c r="S98" s="1509">
        <f t="shared" ref="S98:S130" si="38">H98*$K$75*N98*B98-H98*$K$75*$N$97*B98</f>
        <v>0</v>
      </c>
      <c r="T98" s="1509">
        <f t="shared" ref="T98:T130" si="39">H98*$L$75*O98*B98-H98*$L$75*$O$97*B98</f>
        <v>0</v>
      </c>
      <c r="U98" s="1511">
        <f t="shared" ref="U98:U130" si="40">H98*$M$75*P98*B98-H98*$M$75*$P$97*B98</f>
        <v>0</v>
      </c>
      <c r="V98" s="1509">
        <f t="shared" si="10"/>
        <v>0</v>
      </c>
      <c r="W98" s="1454">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86">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1">
        <f>'Input data'!B119</f>
        <v>58.364834921819444</v>
      </c>
      <c r="C99" s="1550">
        <f>'Input data'!C119</f>
        <v>4436.7667702662829</v>
      </c>
      <c r="D99" s="1552">
        <f>'Input data'!D119</f>
        <v>53495734.497914702</v>
      </c>
      <c r="E99" s="1454">
        <f t="shared" si="29"/>
        <v>0.73208484848484845</v>
      </c>
      <c r="F99" s="1504">
        <f t="shared" si="30"/>
        <v>0.29430606060606057</v>
      </c>
      <c r="G99" s="1509">
        <f>B99*F99*'Input data'!$C$9</f>
        <v>525.74180751182632</v>
      </c>
      <c r="H99" s="1508">
        <f>'Input data'!I119</f>
        <v>424.26313389388866</v>
      </c>
      <c r="I99" s="1509">
        <f>'Input data'!K119</f>
        <v>24762.047773130591</v>
      </c>
      <c r="J99" s="1509">
        <f t="shared" ref="J99:J109" si="77">$J$97*(1+(($J$110/$J$97)^(1/($A$110-$A$97))-1))^(A99-$A$97)</f>
        <v>10016.823542882215</v>
      </c>
      <c r="K99" s="1511">
        <f t="shared" ref="K99:K130" si="78">I99*$B$10-J99</f>
        <v>1490.5568702794153</v>
      </c>
      <c r="L99" s="1504">
        <f t="shared" si="31"/>
        <v>0.57999999999999996</v>
      </c>
      <c r="M99" s="1504">
        <f t="shared" si="32"/>
        <v>0.437</v>
      </c>
      <c r="N99" s="1504">
        <f t="shared" si="33"/>
        <v>0.71200000000000008</v>
      </c>
      <c r="O99" s="1504">
        <f t="shared" si="34"/>
        <v>0.8</v>
      </c>
      <c r="P99" s="1504">
        <f t="shared" si="35"/>
        <v>0.23600000000000002</v>
      </c>
      <c r="Q99" s="1508">
        <f t="shared" si="36"/>
        <v>0</v>
      </c>
      <c r="R99" s="1509">
        <f t="shared" si="37"/>
        <v>0</v>
      </c>
      <c r="S99" s="1509">
        <f t="shared" si="38"/>
        <v>0</v>
      </c>
      <c r="T99" s="1509">
        <f t="shared" si="39"/>
        <v>0</v>
      </c>
      <c r="U99" s="1511">
        <f t="shared" si="40"/>
        <v>0</v>
      </c>
      <c r="V99" s="1509">
        <f t="shared" si="10"/>
        <v>0</v>
      </c>
      <c r="W99" s="1454">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111.94351134711049</v>
      </c>
      <c r="BW99" s="114">
        <f t="shared" si="65"/>
        <v>0.36098197085719852</v>
      </c>
      <c r="BX99" s="1686">
        <f t="shared" si="25"/>
        <v>53.495734497914704</v>
      </c>
      <c r="BY99" s="527">
        <f t="shared" si="66"/>
        <v>111.94351134711049</v>
      </c>
      <c r="BZ99" s="417">
        <f t="shared" si="67"/>
        <v>0.36098197085719852</v>
      </c>
      <c r="CA99" s="544">
        <f t="shared" si="26"/>
        <v>53.495734497914704</v>
      </c>
      <c r="CB99" s="649">
        <f t="shared" si="27"/>
        <v>4.7766344222348933E-2</v>
      </c>
      <c r="CC99" s="525">
        <f t="shared" si="68"/>
        <v>0.17319745173144474</v>
      </c>
      <c r="CD99" s="417">
        <f t="shared" si="28"/>
        <v>4.7766344222348933E-2</v>
      </c>
      <c r="CE99" s="525">
        <f t="shared" si="69"/>
        <v>0.17319745173144474</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1">
        <f>'Input data'!B120</f>
        <v>59.308690000000006</v>
      </c>
      <c r="C100" s="1550">
        <f>'Input data'!C120</f>
        <v>4156.6412676508144</v>
      </c>
      <c r="D100" s="1552">
        <f>'Input data'!D120</f>
        <v>51132056.241912685</v>
      </c>
      <c r="E100" s="1454">
        <f t="shared" si="29"/>
        <v>0.74072727272727268</v>
      </c>
      <c r="F100" s="1504">
        <f t="shared" si="30"/>
        <v>0.29665909090909087</v>
      </c>
      <c r="G100" s="1509">
        <f>B100*F100*'Input data'!$C$9</f>
        <v>538.51529150686906</v>
      </c>
      <c r="H100" s="1508">
        <f>'Input data'!I120</f>
        <v>424.26313389388866</v>
      </c>
      <c r="I100" s="1509">
        <f>'Input data'!K120</f>
        <v>25162.490686541139</v>
      </c>
      <c r="J100" s="1509">
        <f t="shared" si="77"/>
        <v>9496.7251661098635</v>
      </c>
      <c r="K100" s="1511">
        <f t="shared" si="78"/>
        <v>2196.7484563286725</v>
      </c>
      <c r="L100" s="1504">
        <f t="shared" si="31"/>
        <v>0.57999999999999996</v>
      </c>
      <c r="M100" s="1504">
        <f t="shared" si="32"/>
        <v>0.437</v>
      </c>
      <c r="N100" s="1504">
        <f t="shared" si="33"/>
        <v>0.71200000000000008</v>
      </c>
      <c r="O100" s="1504">
        <f t="shared" si="34"/>
        <v>0.8</v>
      </c>
      <c r="P100" s="1504">
        <f t="shared" si="35"/>
        <v>0.23600000000000002</v>
      </c>
      <c r="Q100" s="1508">
        <f t="shared" si="36"/>
        <v>0</v>
      </c>
      <c r="R100" s="1509">
        <f t="shared" si="37"/>
        <v>0</v>
      </c>
      <c r="S100" s="1509">
        <f t="shared" si="38"/>
        <v>0</v>
      </c>
      <c r="T100" s="1509">
        <f t="shared" si="39"/>
        <v>0</v>
      </c>
      <c r="U100" s="1511">
        <f t="shared" si="40"/>
        <v>0</v>
      </c>
      <c r="V100" s="1509">
        <f t="shared" si="10"/>
        <v>0</v>
      </c>
      <c r="W100" s="1454">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107.3926541805366</v>
      </c>
      <c r="BW100" s="114">
        <f t="shared" si="65"/>
        <v>0.36848843643229234</v>
      </c>
      <c r="BX100" s="1686">
        <f t="shared" si="25"/>
        <v>51.132056241912686</v>
      </c>
      <c r="BY100" s="527">
        <f t="shared" si="66"/>
        <v>107.3926541805366</v>
      </c>
      <c r="BZ100" s="417">
        <f t="shared" si="67"/>
        <v>0.36848843643229234</v>
      </c>
      <c r="CA100" s="544">
        <f t="shared" si="26"/>
        <v>51.132056241912686</v>
      </c>
      <c r="CB100" s="649">
        <f t="shared" si="27"/>
        <v>7.0040644951311681E-2</v>
      </c>
      <c r="CC100" s="525">
        <f t="shared" si="68"/>
        <v>0.16954816382555338</v>
      </c>
      <c r="CD100" s="417">
        <f t="shared" si="28"/>
        <v>7.0040644951311681E-2</v>
      </c>
      <c r="CE100" s="525">
        <f t="shared" si="69"/>
        <v>0.16954816382555338</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1">
        <f>'Input data'!B121</f>
        <v>59.991580449204264</v>
      </c>
      <c r="C101" s="1550">
        <f>'Input data'!C121</f>
        <v>4293.1482366506107</v>
      </c>
      <c r="D101" s="1552">
        <f>'Input data'!D121</f>
        <v>51275503.644747034</v>
      </c>
      <c r="E101" s="1454">
        <f t="shared" si="29"/>
        <v>0.74936969696969691</v>
      </c>
      <c r="F101" s="1504">
        <f t="shared" si="30"/>
        <v>0.29901212121212117</v>
      </c>
      <c r="G101" s="1509">
        <f>B101*F101*'Input data'!$C$9</f>
        <v>549.0364074270924</v>
      </c>
      <c r="H101" s="1508">
        <f>'Input data'!I121</f>
        <v>424.26313389388866</v>
      </c>
      <c r="I101" s="1509">
        <f>'Input data'!K121</f>
        <v>25452.215928626742</v>
      </c>
      <c r="J101" s="1509">
        <f t="shared" si="77"/>
        <v>9003.6315898476932</v>
      </c>
      <c r="K101" s="1511">
        <f t="shared" si="78"/>
        <v>2824.482697471236</v>
      </c>
      <c r="L101" s="1504">
        <f t="shared" si="31"/>
        <v>0.57999999999999996</v>
      </c>
      <c r="M101" s="1504">
        <f t="shared" si="32"/>
        <v>0.437</v>
      </c>
      <c r="N101" s="1504">
        <f t="shared" si="33"/>
        <v>0.71200000000000008</v>
      </c>
      <c r="O101" s="1504">
        <f t="shared" si="34"/>
        <v>0.8</v>
      </c>
      <c r="P101" s="1504">
        <f t="shared" si="35"/>
        <v>0.23600000000000002</v>
      </c>
      <c r="Q101" s="1508">
        <f t="shared" si="36"/>
        <v>0</v>
      </c>
      <c r="R101" s="1509">
        <f t="shared" si="37"/>
        <v>0</v>
      </c>
      <c r="S101" s="1509">
        <f t="shared" si="38"/>
        <v>0</v>
      </c>
      <c r="T101" s="1509">
        <f t="shared" si="39"/>
        <v>0</v>
      </c>
      <c r="U101" s="1511">
        <f t="shared" si="40"/>
        <v>0</v>
      </c>
      <c r="V101" s="1509">
        <f t="shared" si="10"/>
        <v>0</v>
      </c>
      <c r="W101" s="1454">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105.36448545919635</v>
      </c>
      <c r="BW101" s="114">
        <f t="shared" si="65"/>
        <v>0.38975324443815274</v>
      </c>
      <c r="BX101" s="1686">
        <f t="shared" si="25"/>
        <v>51.275503644747033</v>
      </c>
      <c r="BY101" s="527">
        <f t="shared" si="66"/>
        <v>105.36448545919635</v>
      </c>
      <c r="BZ101" s="417">
        <f t="shared" si="67"/>
        <v>0.38975324443815274</v>
      </c>
      <c r="CA101" s="544">
        <f t="shared" si="26"/>
        <v>51.275503644747033</v>
      </c>
      <c r="CB101" s="649">
        <f t="shared" si="27"/>
        <v>8.7685876347071812E-2</v>
      </c>
      <c r="CC101" s="525">
        <f t="shared" si="68"/>
        <v>0.20191576760538388</v>
      </c>
      <c r="CD101" s="417">
        <f t="shared" si="28"/>
        <v>8.7685876347071812E-2</v>
      </c>
      <c r="CE101" s="525">
        <f t="shared" si="69"/>
        <v>0.20191576760538388</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1">
        <f>'Input data'!B122</f>
        <v>60.682333816399378</v>
      </c>
      <c r="C102" s="1550">
        <f>'Input data'!C122</f>
        <v>4403.1093139322493</v>
      </c>
      <c r="D102" s="1552">
        <f>'Input data'!D122</f>
        <v>50359792.847133137</v>
      </c>
      <c r="E102" s="1454">
        <f t="shared" si="29"/>
        <v>0.75801212121212114</v>
      </c>
      <c r="F102" s="1504">
        <f t="shared" si="30"/>
        <v>0.30136515151515147</v>
      </c>
      <c r="G102" s="1509">
        <f>B102*F102*'Input data'!$C$9</f>
        <v>559.72841293499425</v>
      </c>
      <c r="H102" s="1508">
        <f>'Input data'!I122</f>
        <v>424.26313389388866</v>
      </c>
      <c r="I102" s="1509">
        <f>'Input data'!K122</f>
        <v>25745.277116940699</v>
      </c>
      <c r="J102" s="1509">
        <f>$J$97*(1+(($J$110/$J$97)^(1/($A$110-$A$97))-1))^(A102-$A$97)</f>
        <v>8536.1406577284433</v>
      </c>
      <c r="K102" s="1511">
        <f t="shared" si="78"/>
        <v>3428.1645702251008</v>
      </c>
      <c r="L102" s="1504">
        <f t="shared" si="31"/>
        <v>0.57999999999999996</v>
      </c>
      <c r="M102" s="1504">
        <f t="shared" si="32"/>
        <v>0.437</v>
      </c>
      <c r="N102" s="1504">
        <f t="shared" si="33"/>
        <v>0.71200000000000008</v>
      </c>
      <c r="O102" s="1504">
        <f t="shared" si="34"/>
        <v>0.8</v>
      </c>
      <c r="P102" s="1504">
        <f t="shared" si="35"/>
        <v>0.23600000000000002</v>
      </c>
      <c r="Q102" s="1508">
        <f t="shared" si="36"/>
        <v>0</v>
      </c>
      <c r="R102" s="1509">
        <f t="shared" si="37"/>
        <v>0</v>
      </c>
      <c r="S102" s="1509">
        <f t="shared" si="38"/>
        <v>0</v>
      </c>
      <c r="T102" s="1509">
        <f t="shared" si="39"/>
        <v>0</v>
      </c>
      <c r="U102" s="1511">
        <f t="shared" si="40"/>
        <v>0</v>
      </c>
      <c r="V102" s="1509">
        <f t="shared" si="10"/>
        <v>0</v>
      </c>
      <c r="W102" s="1454">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103.32303668591965</v>
      </c>
      <c r="BW102" s="114">
        <f t="shared" si="65"/>
        <v>0.41000760372297357</v>
      </c>
      <c r="BX102" s="1686">
        <f t="shared" si="25"/>
        <v>50.359792847133136</v>
      </c>
      <c r="BY102" s="527">
        <f t="shared" si="66"/>
        <v>103.32303668591965</v>
      </c>
      <c r="BZ102" s="417">
        <f t="shared" si="67"/>
        <v>0.41000760372297357</v>
      </c>
      <c r="CA102" s="544">
        <f t="shared" si="26"/>
        <v>50.359792847133136</v>
      </c>
      <c r="CB102" s="649">
        <f t="shared" si="27"/>
        <v>0.10394016738010314</v>
      </c>
      <c r="CC102" s="525">
        <f t="shared" si="68"/>
        <v>0.22335454126448873</v>
      </c>
      <c r="CD102" s="417">
        <f t="shared" si="28"/>
        <v>0.10394016738010314</v>
      </c>
      <c r="CE102" s="525">
        <f t="shared" si="69"/>
        <v>0.22335454126448873</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1">
        <f>'Input data'!B123</f>
        <v>61.381040636574369</v>
      </c>
      <c r="C103" s="1550">
        <f>'Input data'!C123</f>
        <v>4507.0199361395535</v>
      </c>
      <c r="D103" s="1552">
        <f>'Input data'!D123</f>
        <v>49986151.288104504</v>
      </c>
      <c r="E103" s="1454">
        <f t="shared" si="29"/>
        <v>0.76665454545454537</v>
      </c>
      <c r="F103" s="1504">
        <f t="shared" si="30"/>
        <v>0.30371818181818178</v>
      </c>
      <c r="G103" s="1509">
        <f>B103*F103*'Input data'!$C$9</f>
        <v>570.59384848565696</v>
      </c>
      <c r="H103" s="1508">
        <f>'Input data'!I123</f>
        <v>424.26313389388866</v>
      </c>
      <c r="I103" s="1509">
        <f>'Input data'!K123</f>
        <v>26041.712662141173</v>
      </c>
      <c r="J103" s="1509">
        <f t="shared" si="77"/>
        <v>8092.9230168287222</v>
      </c>
      <c r="K103" s="1511">
        <f t="shared" si="78"/>
        <v>4009.1412776551088</v>
      </c>
      <c r="L103" s="1504">
        <f t="shared" si="31"/>
        <v>0.57999999999999996</v>
      </c>
      <c r="M103" s="1504">
        <f t="shared" si="32"/>
        <v>0.437</v>
      </c>
      <c r="N103" s="1504">
        <f t="shared" si="33"/>
        <v>0.71200000000000008</v>
      </c>
      <c r="O103" s="1504">
        <f t="shared" si="34"/>
        <v>0.8</v>
      </c>
      <c r="P103" s="1504">
        <f t="shared" si="35"/>
        <v>0.23600000000000002</v>
      </c>
      <c r="Q103" s="1508">
        <f t="shared" si="36"/>
        <v>0</v>
      </c>
      <c r="R103" s="1509">
        <f t="shared" si="37"/>
        <v>0</v>
      </c>
      <c r="S103" s="1509">
        <f t="shared" si="38"/>
        <v>0</v>
      </c>
      <c r="T103" s="1509">
        <f t="shared" si="39"/>
        <v>0</v>
      </c>
      <c r="U103" s="1511">
        <f t="shared" si="40"/>
        <v>0</v>
      </c>
      <c r="V103" s="1509">
        <f t="shared" si="10"/>
        <v>0</v>
      </c>
      <c r="W103" s="1454">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101.50830165650036</v>
      </c>
      <c r="BW103" s="114">
        <f t="shared" si="65"/>
        <v>0.43064143120687154</v>
      </c>
      <c r="BX103" s="1686">
        <f t="shared" si="25"/>
        <v>49.986151288104502</v>
      </c>
      <c r="BY103" s="527">
        <f t="shared" si="66"/>
        <v>101.50830165650036</v>
      </c>
      <c r="BZ103" s="417">
        <f t="shared" si="67"/>
        <v>0.43064143120687154</v>
      </c>
      <c r="CA103" s="544">
        <f t="shared" si="26"/>
        <v>49.986151288104502</v>
      </c>
      <c r="CB103" s="649">
        <f t="shared" si="27"/>
        <v>0.11889879957863858</v>
      </c>
      <c r="CC103" s="525">
        <f t="shared" si="68"/>
        <v>0.24611188164978726</v>
      </c>
      <c r="CD103" s="417">
        <f t="shared" si="28"/>
        <v>0.11889879957863858</v>
      </c>
      <c r="CE103" s="525">
        <f t="shared" si="69"/>
        <v>0.24611188164978726</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1">
        <f>'Input data'!B124</f>
        <v>62.087792487153699</v>
      </c>
      <c r="C104" s="1550">
        <f>'Input data'!C124</f>
        <v>4624.8292728728675</v>
      </c>
      <c r="D104" s="1552">
        <f>'Input data'!D124</f>
        <v>51073828.378576256</v>
      </c>
      <c r="E104" s="1454">
        <f t="shared" si="29"/>
        <v>0.7752969696969696</v>
      </c>
      <c r="F104" s="1504">
        <f t="shared" si="30"/>
        <v>0.30607121212121208</v>
      </c>
      <c r="G104" s="1509">
        <f>B104*F104*'Input data'!$C$9</f>
        <v>581.63529038075126</v>
      </c>
      <c r="H104" s="1508">
        <f>'Input data'!I124</f>
        <v>424.26313389388866</v>
      </c>
      <c r="I104" s="1509">
        <f>'Input data'!K124</f>
        <v>26341.561417153265</v>
      </c>
      <c r="J104" s="1509">
        <f t="shared" si="77"/>
        <v>7672.7183375332434</v>
      </c>
      <c r="K104" s="1511">
        <f t="shared" si="78"/>
        <v>4568.691205047603</v>
      </c>
      <c r="L104" s="1504">
        <f t="shared" si="31"/>
        <v>0.57999999999999996</v>
      </c>
      <c r="M104" s="1504">
        <f t="shared" si="32"/>
        <v>0.437</v>
      </c>
      <c r="N104" s="1504">
        <f t="shared" si="33"/>
        <v>0.71200000000000008</v>
      </c>
      <c r="O104" s="1504">
        <f t="shared" si="34"/>
        <v>0.8</v>
      </c>
      <c r="P104" s="1504">
        <f t="shared" si="35"/>
        <v>0.23600000000000002</v>
      </c>
      <c r="Q104" s="1508">
        <f t="shared" si="36"/>
        <v>0</v>
      </c>
      <c r="R104" s="1509">
        <f t="shared" si="37"/>
        <v>0</v>
      </c>
      <c r="S104" s="1509">
        <f t="shared" si="38"/>
        <v>0</v>
      </c>
      <c r="T104" s="1509">
        <f t="shared" si="39"/>
        <v>0</v>
      </c>
      <c r="U104" s="1511">
        <f t="shared" si="40"/>
        <v>0</v>
      </c>
      <c r="V104" s="1509">
        <f t="shared" si="10"/>
        <v>0</v>
      </c>
      <c r="W104" s="1454">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100.13807452077647</v>
      </c>
      <c r="BW104" s="114">
        <f t="shared" si="65"/>
        <v>0.45281770979141833</v>
      </c>
      <c r="BX104" s="1686">
        <f t="shared" si="25"/>
        <v>51.073828378576259</v>
      </c>
      <c r="BY104" s="527">
        <f t="shared" si="66"/>
        <v>100.13807452077647</v>
      </c>
      <c r="BZ104" s="417">
        <f t="shared" si="67"/>
        <v>0.45281770979141833</v>
      </c>
      <c r="CA104" s="544">
        <f t="shared" si="26"/>
        <v>51.073828378576259</v>
      </c>
      <c r="CB104" s="649">
        <f t="shared" si="27"/>
        <v>0.13265100107403016</v>
      </c>
      <c r="CC104" s="525">
        <f t="shared" si="68"/>
        <v>0.27572987316346476</v>
      </c>
      <c r="CD104" s="417">
        <f t="shared" si="28"/>
        <v>0.13265100107403016</v>
      </c>
      <c r="CE104" s="525">
        <f t="shared" si="69"/>
        <v>0.27572987316346476</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1">
        <f>'Input data'!B125</f>
        <v>62.802682000000026</v>
      </c>
      <c r="C105" s="1550">
        <f>'Input data'!C125</f>
        <v>4737.3047749260231</v>
      </c>
      <c r="D105" s="1552">
        <f>'Input data'!D125</f>
        <v>51201731.8667503</v>
      </c>
      <c r="E105" s="1454">
        <f t="shared" si="29"/>
        <v>0.78393939393939382</v>
      </c>
      <c r="F105" s="1504">
        <f t="shared" si="30"/>
        <v>0.30842424242424238</v>
      </c>
      <c r="G105" s="1509">
        <f>B105*F105*'Input data'!$C$9</f>
        <v>592.85535125722038</v>
      </c>
      <c r="H105" s="1508">
        <f>'Input data'!I125</f>
        <v>424.26313389388866</v>
      </c>
      <c r="I105" s="1509">
        <f>'Input data'!K125</f>
        <v>26644.862682261322</v>
      </c>
      <c r="J105" s="1509">
        <f t="shared" si="77"/>
        <v>7274.3317296730966</v>
      </c>
      <c r="K105" s="1511">
        <f t="shared" si="78"/>
        <v>5108.0275061386474</v>
      </c>
      <c r="L105" s="1504">
        <f t="shared" si="31"/>
        <v>0.57999999999999996</v>
      </c>
      <c r="M105" s="1504">
        <f t="shared" si="32"/>
        <v>0.437</v>
      </c>
      <c r="N105" s="1504">
        <f t="shared" si="33"/>
        <v>0.71200000000000008</v>
      </c>
      <c r="O105" s="1504">
        <f t="shared" si="34"/>
        <v>0.8</v>
      </c>
      <c r="P105" s="1504">
        <f t="shared" si="35"/>
        <v>0.23600000000000002</v>
      </c>
      <c r="Q105" s="1508">
        <f t="shared" si="36"/>
        <v>0</v>
      </c>
      <c r="R105" s="1509">
        <f t="shared" si="37"/>
        <v>0</v>
      </c>
      <c r="S105" s="1509">
        <f t="shared" si="38"/>
        <v>0</v>
      </c>
      <c r="T105" s="1509">
        <f t="shared" si="39"/>
        <v>0</v>
      </c>
      <c r="U105" s="1511">
        <f t="shared" si="40"/>
        <v>0</v>
      </c>
      <c r="V105" s="1509">
        <f t="shared" si="10"/>
        <v>0</v>
      </c>
      <c r="W105" s="1454">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98.867901949687308</v>
      </c>
      <c r="BW105" s="114">
        <f t="shared" si="65"/>
        <v>0.47437083432444616</v>
      </c>
      <c r="BX105" s="1686">
        <f t="shared" si="25"/>
        <v>51.201731866750301</v>
      </c>
      <c r="BY105" s="527">
        <f t="shared" si="66"/>
        <v>98.867901949687308</v>
      </c>
      <c r="BZ105" s="417">
        <f t="shared" si="67"/>
        <v>0.47437083432444616</v>
      </c>
      <c r="CA105" s="544">
        <f t="shared" si="26"/>
        <v>51.201731866750301</v>
      </c>
      <c r="CB105" s="649">
        <f t="shared" si="27"/>
        <v>0.14528032436176563</v>
      </c>
      <c r="CC105" s="525">
        <f t="shared" si="68"/>
        <v>0.29670515725495739</v>
      </c>
      <c r="CD105" s="417">
        <f t="shared" si="28"/>
        <v>0.14528032436176563</v>
      </c>
      <c r="CE105" s="525">
        <f t="shared" si="69"/>
        <v>0.29670515725495739</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1">
        <f>'Input data'!B126</f>
        <v>63.421065342005143</v>
      </c>
      <c r="C106" s="1550">
        <f>'Input data'!C126</f>
        <v>4839.0369685354799</v>
      </c>
      <c r="D106" s="1552">
        <f>'Input data'!D126</f>
        <v>50537069.53539668</v>
      </c>
      <c r="E106" s="1454">
        <f t="shared" si="29"/>
        <v>0.79258181818181805</v>
      </c>
      <c r="F106" s="1504">
        <f t="shared" si="30"/>
        <v>0.31077727272727268</v>
      </c>
      <c r="G106" s="1509">
        <f>B106*F106*'Input data'!$C$9</f>
        <v>603.26041842938696</v>
      </c>
      <c r="H106" s="1508">
        <f>'Input data'!I126</f>
        <v>424.26313389388866</v>
      </c>
      <c r="I106" s="1509">
        <f>'Input data'!K126</f>
        <v>26907.219936888188</v>
      </c>
      <c r="J106" s="1509">
        <f t="shared" si="77"/>
        <v>6896.6303447470355</v>
      </c>
      <c r="K106" s="1511">
        <f t="shared" si="78"/>
        <v>5607.6511472853772</v>
      </c>
      <c r="L106" s="1504">
        <f t="shared" si="31"/>
        <v>0.57999999999999996</v>
      </c>
      <c r="M106" s="1504">
        <f t="shared" si="32"/>
        <v>0.437</v>
      </c>
      <c r="N106" s="1504">
        <f t="shared" si="33"/>
        <v>0.71200000000000008</v>
      </c>
      <c r="O106" s="1504">
        <f t="shared" si="34"/>
        <v>0.8</v>
      </c>
      <c r="P106" s="1504">
        <f t="shared" si="35"/>
        <v>0.23600000000000002</v>
      </c>
      <c r="Q106" s="1508">
        <f t="shared" si="36"/>
        <v>0</v>
      </c>
      <c r="R106" s="1509">
        <f t="shared" si="37"/>
        <v>0</v>
      </c>
      <c r="S106" s="1509">
        <f t="shared" si="38"/>
        <v>0</v>
      </c>
      <c r="T106" s="1509">
        <f t="shared" si="39"/>
        <v>0</v>
      </c>
      <c r="U106" s="1511">
        <f t="shared" si="40"/>
        <v>0</v>
      </c>
      <c r="V106" s="1509">
        <f t="shared" si="10"/>
        <v>0</v>
      </c>
      <c r="W106" s="1454">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98.738945012830243</v>
      </c>
      <c r="BW106" s="114">
        <f t="shared" si="65"/>
        <v>0.48955881084104291</v>
      </c>
      <c r="BX106" s="1686">
        <f t="shared" si="25"/>
        <v>50.537069535396682</v>
      </c>
      <c r="BY106" s="527">
        <f t="shared" si="66"/>
        <v>98.738945012830243</v>
      </c>
      <c r="BZ106" s="417">
        <f t="shared" si="67"/>
        <v>0.48955881084104291</v>
      </c>
      <c r="CA106" s="544">
        <f t="shared" si="26"/>
        <v>50.537069535396682</v>
      </c>
      <c r="CB106" s="649">
        <f t="shared" si="27"/>
        <v>0.15588583154405877</v>
      </c>
      <c r="CC106" s="525">
        <f t="shared" si="68"/>
        <v>0.30094561842312217</v>
      </c>
      <c r="CD106" s="417">
        <f t="shared" si="28"/>
        <v>0.15588583154405877</v>
      </c>
      <c r="CE106" s="525">
        <f t="shared" si="69"/>
        <v>0.30094561842312217</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1">
        <f>'Input data'!B127</f>
        <v>64.045537563425796</v>
      </c>
      <c r="C107" s="1550">
        <f>'Input data'!C127</f>
        <v>4937.5264455117067</v>
      </c>
      <c r="D107" s="1552">
        <f>'Input data'!D127</f>
        <v>49329037.288601168</v>
      </c>
      <c r="E107" s="1454">
        <f t="shared" si="29"/>
        <v>0.80122424242424228</v>
      </c>
      <c r="F107" s="1504">
        <f t="shared" si="30"/>
        <v>0.31313030303030298</v>
      </c>
      <c r="G107" s="1509">
        <f>B107*F107*'Input data'!$C$9</f>
        <v>613.81291267606582</v>
      </c>
      <c r="H107" s="1508">
        <f>'Input data'!I127</f>
        <v>424.26313389388866</v>
      </c>
      <c r="I107" s="1509">
        <f>'Input data'!K127</f>
        <v>27172.160478577796</v>
      </c>
      <c r="J107" s="1509">
        <f t="shared" si="77"/>
        <v>6538.5401545638715</v>
      </c>
      <c r="K107" s="1511">
        <f t="shared" si="78"/>
        <v>6088.8640948440307</v>
      </c>
      <c r="L107" s="1504">
        <f>($L$110-$L$97)/($A$110-$A$97)*L106+L106</f>
        <v>0.57999999999999996</v>
      </c>
      <c r="M107" s="1504">
        <f>($M$110-$M$97)/($A$110-$A$97)*M106+M106</f>
        <v>0.437</v>
      </c>
      <c r="N107" s="1504">
        <f>($N$110-$N$97)/($A$110-$A$97)*N106+N106</f>
        <v>0.71200000000000008</v>
      </c>
      <c r="O107" s="1504">
        <f>($L$110-$L$97)/($A$110-$A$97)*O106+O106</f>
        <v>0.8</v>
      </c>
      <c r="P107" s="1504">
        <f t="shared" si="35"/>
        <v>0.23600000000000002</v>
      </c>
      <c r="Q107" s="1508">
        <f t="shared" si="36"/>
        <v>0</v>
      </c>
      <c r="R107" s="1509">
        <f t="shared" si="37"/>
        <v>0</v>
      </c>
      <c r="S107" s="1509">
        <f t="shared" si="38"/>
        <v>0</v>
      </c>
      <c r="T107" s="1509">
        <f t="shared" si="39"/>
        <v>0</v>
      </c>
      <c r="U107" s="1511">
        <f t="shared" si="40"/>
        <v>0</v>
      </c>
      <c r="V107" s="1509">
        <f t="shared" si="10"/>
        <v>0</v>
      </c>
      <c r="W107" s="1454">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98.072260249721623</v>
      </c>
      <c r="BW107" s="114">
        <f t="shared" si="65"/>
        <v>0.50698609212610946</v>
      </c>
      <c r="BX107" s="1686">
        <f t="shared" si="25"/>
        <v>49.329037288601171</v>
      </c>
      <c r="BY107" s="527">
        <f t="shared" si="66"/>
        <v>98.072260249721623</v>
      </c>
      <c r="BZ107" s="417">
        <f t="shared" si="67"/>
        <v>0.50698609212610946</v>
      </c>
      <c r="CA107" s="544">
        <f t="shared" si="26"/>
        <v>49.329037288601171</v>
      </c>
      <c r="CB107" s="649">
        <f t="shared" si="27"/>
        <v>0.16554621920854717</v>
      </c>
      <c r="CC107" s="525">
        <f t="shared" si="68"/>
        <v>0.3065711826671903</v>
      </c>
      <c r="CD107" s="417">
        <f t="shared" si="28"/>
        <v>0.16554621920854717</v>
      </c>
      <c r="CE107" s="525">
        <f t="shared" si="69"/>
        <v>0.3065711826671903</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1">
        <f>'Input data'!B128</f>
        <v>64.676158618096451</v>
      </c>
      <c r="C108" s="1550">
        <f>'Input data'!C128</f>
        <v>5030.8888370380655</v>
      </c>
      <c r="D108" s="1552">
        <f>'Input data'!D128</f>
        <v>48528826.860263921</v>
      </c>
      <c r="E108" s="1454">
        <f t="shared" si="29"/>
        <v>0.80986666666666651</v>
      </c>
      <c r="F108" s="1504">
        <f t="shared" si="30"/>
        <v>0.31548333333333328</v>
      </c>
      <c r="G108" s="1509">
        <f>B108*F108*'Input data'!$C$9</f>
        <v>624.5147284656291</v>
      </c>
      <c r="H108" s="1508">
        <f>'Input data'!I128</f>
        <v>424.26313389388866</v>
      </c>
      <c r="I108" s="1509">
        <f>'Input data'!K128</f>
        <v>27439.709743531836</v>
      </c>
      <c r="J108" s="1509">
        <f t="shared" si="77"/>
        <v>6199.0428971457768</v>
      </c>
      <c r="K108" s="1511">
        <f t="shared" si="78"/>
        <v>6552.6964314646102</v>
      </c>
      <c r="L108" s="1504">
        <f>($L$110-$L$97)/($A$110-$A$97)*L107+L107</f>
        <v>0.57999999999999996</v>
      </c>
      <c r="M108" s="1504">
        <f>($M$110-$M$97)/($A$110-$A$97)*M107+M107</f>
        <v>0.437</v>
      </c>
      <c r="N108" s="1504">
        <f>($N$110-$N$97)/($A$110-$A$97)*N107+N107</f>
        <v>0.71200000000000008</v>
      </c>
      <c r="O108" s="1504">
        <f>($L$110-$L$97)/($A$110-$A$97)*O107+O107</f>
        <v>0.8</v>
      </c>
      <c r="P108" s="1504">
        <f t="shared" si="35"/>
        <v>0.23600000000000002</v>
      </c>
      <c r="Q108" s="1508">
        <f t="shared" si="36"/>
        <v>0</v>
      </c>
      <c r="R108" s="1509">
        <f t="shared" si="37"/>
        <v>0</v>
      </c>
      <c r="S108" s="1509">
        <f t="shared" si="38"/>
        <v>0</v>
      </c>
      <c r="T108" s="1509">
        <f t="shared" si="39"/>
        <v>0</v>
      </c>
      <c r="U108" s="1511">
        <f t="shared" si="40"/>
        <v>0</v>
      </c>
      <c r="V108" s="1509">
        <f t="shared" si="10"/>
        <v>0</v>
      </c>
      <c r="W108" s="1454">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97.361261211668534</v>
      </c>
      <c r="BW108" s="114">
        <f t="shared" si="65"/>
        <v>0.52104633574371406</v>
      </c>
      <c r="BX108" s="1686">
        <f t="shared" si="25"/>
        <v>48.528826860263919</v>
      </c>
      <c r="BY108" s="527">
        <f t="shared" si="66"/>
        <v>97.361261211668534</v>
      </c>
      <c r="BZ108" s="417">
        <f t="shared" si="67"/>
        <v>0.52104633574371406</v>
      </c>
      <c r="CA108" s="544">
        <f t="shared" si="26"/>
        <v>48.528826860263919</v>
      </c>
      <c r="CB108" s="649">
        <f t="shared" si="27"/>
        <v>0.18787758011779954</v>
      </c>
      <c r="CC108" s="525">
        <f t="shared" si="68"/>
        <v>0.31157315481005166</v>
      </c>
      <c r="CD108" s="417">
        <f t="shared" si="28"/>
        <v>0.18787758011779954</v>
      </c>
      <c r="CE108" s="525">
        <f t="shared" si="69"/>
        <v>0.31157315481005166</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1">
        <f>'Input data'!B129</f>
        <v>65.31298905018393</v>
      </c>
      <c r="C109" s="1550">
        <f>'Input data'!C129</f>
        <v>5147.1070268118992</v>
      </c>
      <c r="D109" s="1552">
        <f>'Input data'!D129</f>
        <v>46965110.037548423</v>
      </c>
      <c r="E109" s="1454">
        <f t="shared" si="29"/>
        <v>0.81850909090909074</v>
      </c>
      <c r="F109" s="1504">
        <f t="shared" si="30"/>
        <v>0.31783636363636358</v>
      </c>
      <c r="G109" s="1509">
        <f>B109*F109*'Input data'!$C$9</f>
        <v>635.36778328058904</v>
      </c>
      <c r="H109" s="1508">
        <f>'Input data'!I129</f>
        <v>424.26313389388866</v>
      </c>
      <c r="I109" s="1509">
        <f>'Input data'!K129</f>
        <v>27709.893418408268</v>
      </c>
      <c r="J109" s="1509">
        <f t="shared" si="77"/>
        <v>5877.1731812078651</v>
      </c>
      <c r="K109" s="1511">
        <f t="shared" si="78"/>
        <v>7000.1254854958279</v>
      </c>
      <c r="L109" s="1504">
        <f>($L$110-$L$97)/($A$110-$A$97)*L108+L108</f>
        <v>0.57999999999999996</v>
      </c>
      <c r="M109" s="1504">
        <f>($L$110-$L$97)/($A$110-$A$97)*M108+M108</f>
        <v>0.437</v>
      </c>
      <c r="N109" s="1504">
        <f>($N$110-$N$97)/($A$110-$A$97)*N108+N108</f>
        <v>0.71200000000000008</v>
      </c>
      <c r="O109" s="1504">
        <f>($L$110-$L$97)/($A$110-$A$97)*O108+O108</f>
        <v>0.8</v>
      </c>
      <c r="P109" s="1504">
        <f t="shared" si="35"/>
        <v>0.23600000000000002</v>
      </c>
      <c r="Q109" s="1508">
        <f t="shared" si="36"/>
        <v>0</v>
      </c>
      <c r="R109" s="1509">
        <f t="shared" si="37"/>
        <v>0</v>
      </c>
      <c r="S109" s="1509">
        <f t="shared" si="38"/>
        <v>0</v>
      </c>
      <c r="T109" s="1509">
        <f t="shared" si="39"/>
        <v>0</v>
      </c>
      <c r="U109" s="1511">
        <f t="shared" si="40"/>
        <v>0</v>
      </c>
      <c r="V109" s="1509">
        <f t="shared" si="10"/>
        <v>0</v>
      </c>
      <c r="W109" s="1454">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96.029142723626322</v>
      </c>
      <c r="BW109" s="114">
        <f t="shared" si="65"/>
        <v>0.53906366138175554</v>
      </c>
      <c r="BX109" s="1686">
        <f t="shared" si="25"/>
        <v>46.965110037548421</v>
      </c>
      <c r="BY109" s="527">
        <f t="shared" si="66"/>
        <v>96.029142723626322</v>
      </c>
      <c r="BZ109" s="417">
        <f t="shared" si="67"/>
        <v>0.53906366138175554</v>
      </c>
      <c r="CA109" s="544">
        <f t="shared" si="26"/>
        <v>46.965110037548421</v>
      </c>
      <c r="CB109" s="649">
        <f t="shared" si="27"/>
        <v>0.20894363003364869</v>
      </c>
      <c r="CC109" s="525">
        <f t="shared" si="68"/>
        <v>0.31941476685457393</v>
      </c>
      <c r="CD109" s="417">
        <f t="shared" si="28"/>
        <v>0.20894363003364869</v>
      </c>
      <c r="CE109" s="525">
        <f t="shared" si="69"/>
        <v>0.31941476685457393</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1">
        <f>'Input data'!B130</f>
        <v>65.956090000000003</v>
      </c>
      <c r="C110" s="1550">
        <f>'Input data'!C130</f>
        <v>5262.1824199605107</v>
      </c>
      <c r="D110" s="1552">
        <f>'Input data'!D130</f>
        <v>45521353.842330128</v>
      </c>
      <c r="E110" s="1454">
        <f t="shared" si="29"/>
        <v>0.82715151515151497</v>
      </c>
      <c r="F110" s="1504">
        <f t="shared" si="30"/>
        <v>0.32018939393939388</v>
      </c>
      <c r="G110" s="1509">
        <f>B110*F110*'Input data'!$C$9</f>
        <v>646.37401788713851</v>
      </c>
      <c r="H110" s="1508">
        <f>'Input data'!I130</f>
        <v>424.26313389388866</v>
      </c>
      <c r="I110" s="1509">
        <f>'Input data'!K130</f>
        <v>27982.737442787373</v>
      </c>
      <c r="J110" s="1509">
        <f>J97*(1-$C$4)</f>
        <v>5572.0157409803969</v>
      </c>
      <c r="K110" s="1511">
        <f t="shared" si="78"/>
        <v>7432.0785773089146</v>
      </c>
      <c r="L110" s="1504">
        <f>C18</f>
        <v>0.57999999999999996</v>
      </c>
      <c r="M110" s="1504">
        <f>D18</f>
        <v>0.437</v>
      </c>
      <c r="N110" s="1504">
        <f>E18</f>
        <v>0.71200000000000008</v>
      </c>
      <c r="O110" s="1504">
        <f>F18</f>
        <v>0.8</v>
      </c>
      <c r="P110" s="1504">
        <f>G18</f>
        <v>0.23600000000000002</v>
      </c>
      <c r="Q110" s="1508">
        <f t="shared" si="36"/>
        <v>0</v>
      </c>
      <c r="R110" s="1509">
        <f t="shared" si="37"/>
        <v>0</v>
      </c>
      <c r="S110" s="1509">
        <f t="shared" si="38"/>
        <v>0</v>
      </c>
      <c r="T110" s="1509">
        <f t="shared" si="39"/>
        <v>0</v>
      </c>
      <c r="U110" s="1511">
        <f t="shared" si="40"/>
        <v>0</v>
      </c>
      <c r="V110" s="1509">
        <f t="shared" si="10"/>
        <v>0</v>
      </c>
      <c r="W110" s="1454">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94.835024667235103</v>
      </c>
      <c r="BW110" s="114">
        <f t="shared" si="65"/>
        <v>0.55724059795229364</v>
      </c>
      <c r="BX110" s="1686">
        <f t="shared" si="25"/>
        <v>45.521353842330129</v>
      </c>
      <c r="BY110" s="527">
        <f t="shared" si="66"/>
        <v>94.835024667235103</v>
      </c>
      <c r="BZ110" s="417">
        <f t="shared" si="67"/>
        <v>0.55724059795229364</v>
      </c>
      <c r="CA110" s="544">
        <f t="shared" si="26"/>
        <v>45.521353842330129</v>
      </c>
      <c r="CB110" s="649">
        <f t="shared" si="27"/>
        <v>0.22882200098597416</v>
      </c>
      <c r="CC110" s="525">
        <f t="shared" si="68"/>
        <v>0.3268883557735357</v>
      </c>
      <c r="CD110" s="417">
        <f t="shared" si="28"/>
        <v>0.22882200098597416</v>
      </c>
      <c r="CE110" s="525">
        <f t="shared" si="69"/>
        <v>0.3268883557735357</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1">
        <f>'Input data'!B131</f>
        <v>66.518977190687664</v>
      </c>
      <c r="C111" s="1550">
        <f>'Input data'!C131</f>
        <v>5387.7672265735409</v>
      </c>
      <c r="D111" s="1552">
        <f>'Input data'!D131</f>
        <v>44085520.531554446</v>
      </c>
      <c r="E111" s="1454">
        <f t="shared" si="29"/>
        <v>0.8357939393939392</v>
      </c>
      <c r="F111" s="1504">
        <f t="shared" si="30"/>
        <v>0.32254242424242419</v>
      </c>
      <c r="G111" s="1509">
        <f>B111*F111*'Input data'!$C$9</f>
        <v>656.68100693696977</v>
      </c>
      <c r="H111" s="1508">
        <f>'Input data'!I131</f>
        <v>424.26313389388866</v>
      </c>
      <c r="I111" s="1509">
        <f>'Input data'!K131</f>
        <v>28221.549726337245</v>
      </c>
      <c r="J111" s="1509">
        <f t="shared" ref="J111:J116" si="87">($J$117-$J$107)/($A$117-$A$107)+J110</f>
        <v>5308.2028273926371</v>
      </c>
      <c r="K111" s="1511">
        <f t="shared" si="78"/>
        <v>7806.8719646976406</v>
      </c>
      <c r="L111" s="1504">
        <f>L110</f>
        <v>0.57999999999999996</v>
      </c>
      <c r="M111" s="1504">
        <f t="shared" ref="M111:P111" si="88">M110</f>
        <v>0.437</v>
      </c>
      <c r="N111" s="1504">
        <f t="shared" si="88"/>
        <v>0.71200000000000008</v>
      </c>
      <c r="O111" s="1504">
        <f t="shared" si="88"/>
        <v>0.8</v>
      </c>
      <c r="P111" s="1504">
        <f t="shared" si="88"/>
        <v>0.23600000000000002</v>
      </c>
      <c r="Q111" s="1508">
        <f t="shared" si="36"/>
        <v>0</v>
      </c>
      <c r="R111" s="1509">
        <f t="shared" si="37"/>
        <v>0</v>
      </c>
      <c r="S111" s="1509">
        <f t="shared" si="38"/>
        <v>0</v>
      </c>
      <c r="T111" s="1509">
        <f t="shared" si="39"/>
        <v>0</v>
      </c>
      <c r="U111" s="1511">
        <f t="shared" si="40"/>
        <v>0</v>
      </c>
      <c r="V111" s="1509">
        <f t="shared" si="10"/>
        <v>0</v>
      </c>
      <c r="W111" s="1454">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93.750200658886101</v>
      </c>
      <c r="BW111" s="114">
        <f t="shared" si="65"/>
        <v>0.56718365435530249</v>
      </c>
      <c r="BX111" s="1686">
        <f t="shared" si="25"/>
        <v>44.085520531554444</v>
      </c>
      <c r="BY111" s="527">
        <f t="shared" si="66"/>
        <v>93.750200658886101</v>
      </c>
      <c r="BZ111" s="417">
        <f t="shared" si="67"/>
        <v>0.56718365435530249</v>
      </c>
      <c r="CA111" s="544">
        <f t="shared" si="26"/>
        <v>44.085520531554444</v>
      </c>
      <c r="CB111" s="649">
        <f t="shared" si="27"/>
        <v>0.24572749882361522</v>
      </c>
      <c r="CC111" s="525">
        <f t="shared" si="68"/>
        <v>0.33462375034984448</v>
      </c>
      <c r="CD111" s="417">
        <f t="shared" si="28"/>
        <v>0.24572749882361522</v>
      </c>
      <c r="CE111" s="525">
        <f t="shared" si="69"/>
        <v>0.33462375034984448</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1">
        <f>'Input data'!B132</f>
        <v>67.08666821358311</v>
      </c>
      <c r="C112" s="1550">
        <f>'Input data'!C132</f>
        <v>5535.3993263804541</v>
      </c>
      <c r="D112" s="1552">
        <f>'Input data'!D132</f>
        <v>41932973.31689404</v>
      </c>
      <c r="E112" s="1454">
        <f t="shared" si="29"/>
        <v>0.84443636363636343</v>
      </c>
      <c r="F112" s="1504">
        <f t="shared" si="30"/>
        <v>0.32489545454545449</v>
      </c>
      <c r="G112" s="1509">
        <f>B112*F112*'Input data'!$C$9</f>
        <v>667.11684340477314</v>
      </c>
      <c r="H112" s="1508">
        <f>'Input data'!I132</f>
        <v>424.26313389388866</v>
      </c>
      <c r="I112" s="1509">
        <f>'Input data'!K132</f>
        <v>28462.400098794296</v>
      </c>
      <c r="J112" s="1509">
        <f t="shared" si="87"/>
        <v>5044.3899138048773</v>
      </c>
      <c r="K112" s="1511">
        <f t="shared" si="78"/>
        <v>8182.6124896004212</v>
      </c>
      <c r="L112" s="1504">
        <f t="shared" ref="L112:L130" si="89">L111</f>
        <v>0.57999999999999996</v>
      </c>
      <c r="M112" s="1504">
        <f t="shared" ref="M112:M130" si="90">M111</f>
        <v>0.437</v>
      </c>
      <c r="N112" s="1504">
        <f t="shared" ref="N112:N130" si="91">N111</f>
        <v>0.71200000000000008</v>
      </c>
      <c r="O112" s="1504">
        <f t="shared" ref="O112:P130" si="92">O111</f>
        <v>0.8</v>
      </c>
      <c r="P112" s="1504">
        <f t="shared" si="92"/>
        <v>0.23600000000000002</v>
      </c>
      <c r="Q112" s="1508">
        <f t="shared" si="36"/>
        <v>0</v>
      </c>
      <c r="R112" s="1509">
        <f t="shared" si="37"/>
        <v>0</v>
      </c>
      <c r="S112" s="1509">
        <f t="shared" si="38"/>
        <v>0</v>
      </c>
      <c r="T112" s="1509">
        <f t="shared" si="39"/>
        <v>0</v>
      </c>
      <c r="U112" s="1511">
        <f t="shared" si="40"/>
        <v>0</v>
      </c>
      <c r="V112" s="1509">
        <f t="shared" si="10"/>
        <v>0</v>
      </c>
      <c r="W112" s="1454">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92.062791517362029</v>
      </c>
      <c r="BW112" s="114">
        <f t="shared" si="65"/>
        <v>0.58082122069867592</v>
      </c>
      <c r="BX112" s="1686">
        <f t="shared" si="25"/>
        <v>41.932973316894042</v>
      </c>
      <c r="BY112" s="527">
        <f t="shared" si="66"/>
        <v>92.062791517362029</v>
      </c>
      <c r="BZ112" s="417">
        <f t="shared" si="67"/>
        <v>0.58082122069867592</v>
      </c>
      <c r="CA112" s="544">
        <f t="shared" si="26"/>
        <v>41.932973316894042</v>
      </c>
      <c r="CB112" s="649">
        <f t="shared" si="27"/>
        <v>0.26236415346842734</v>
      </c>
      <c r="CC112" s="525">
        <f t="shared" si="68"/>
        <v>0.34517500304929016</v>
      </c>
      <c r="CD112" s="417">
        <f t="shared" si="28"/>
        <v>0.26236415346842734</v>
      </c>
      <c r="CE112" s="525">
        <f t="shared" si="69"/>
        <v>0.34517500304929016</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1">
        <f>'Input data'!B133</f>
        <v>67.659204065895452</v>
      </c>
      <c r="C113" s="1550">
        <f>'Input data'!C133</f>
        <v>5694.7516404688276</v>
      </c>
      <c r="D113" s="1552">
        <f>'Input data'!D133</f>
        <v>41056214.022582531</v>
      </c>
      <c r="E113" s="1454">
        <f t="shared" si="29"/>
        <v>0.85307878787878766</v>
      </c>
      <c r="F113" s="1504">
        <f t="shared" si="30"/>
        <v>0.32724848484848479</v>
      </c>
      <c r="G113" s="1509">
        <f>B113*F113*'Input data'!$C$9</f>
        <v>677.68297583118044</v>
      </c>
      <c r="H113" s="1508">
        <f>'Input data'!I133</f>
        <v>424.26313389388866</v>
      </c>
      <c r="I113" s="1509">
        <f>'Input data'!K133</f>
        <v>28705.305953762938</v>
      </c>
      <c r="J113" s="1509">
        <f t="shared" si="87"/>
        <v>4780.5770002171175</v>
      </c>
      <c r="K113" s="1511">
        <f t="shared" si="78"/>
        <v>8559.3082351461071</v>
      </c>
      <c r="L113" s="1504">
        <f t="shared" si="89"/>
        <v>0.57999999999999996</v>
      </c>
      <c r="M113" s="1504">
        <f t="shared" si="90"/>
        <v>0.437</v>
      </c>
      <c r="N113" s="1504">
        <f t="shared" si="91"/>
        <v>0.71200000000000008</v>
      </c>
      <c r="O113" s="1504">
        <f t="shared" si="92"/>
        <v>0.8</v>
      </c>
      <c r="P113" s="1504">
        <f t="shared" si="92"/>
        <v>0.23600000000000002</v>
      </c>
      <c r="Q113" s="1508">
        <f t="shared" si="36"/>
        <v>0</v>
      </c>
      <c r="R113" s="1509">
        <f t="shared" si="37"/>
        <v>0</v>
      </c>
      <c r="S113" s="1509">
        <f t="shared" si="38"/>
        <v>0</v>
      </c>
      <c r="T113" s="1509">
        <f t="shared" si="39"/>
        <v>0</v>
      </c>
      <c r="U113" s="1511">
        <f t="shared" si="40"/>
        <v>0</v>
      </c>
      <c r="V113" s="1509">
        <f t="shared" si="10"/>
        <v>0</v>
      </c>
      <c r="W113" s="1454">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91.71234090193515</v>
      </c>
      <c r="BW113" s="114">
        <f t="shared" si="65"/>
        <v>0.58974388999060834</v>
      </c>
      <c r="BX113" s="1686">
        <f t="shared" si="25"/>
        <v>41.05621402258253</v>
      </c>
      <c r="BY113" s="527">
        <f t="shared" si="66"/>
        <v>91.71234090193515</v>
      </c>
      <c r="BZ113" s="417">
        <f t="shared" si="67"/>
        <v>0.58974388999060834</v>
      </c>
      <c r="CA113" s="544">
        <f t="shared" si="26"/>
        <v>41.05621402258253</v>
      </c>
      <c r="CB113" s="649">
        <f t="shared" si="27"/>
        <v>0.27873582031809607</v>
      </c>
      <c r="CC113" s="525">
        <f t="shared" si="68"/>
        <v>0.35193746497352119</v>
      </c>
      <c r="CD113" s="417">
        <f t="shared" si="28"/>
        <v>0.27873582031809607</v>
      </c>
      <c r="CE113" s="525">
        <f t="shared" si="69"/>
        <v>0.35193746497352119</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1">
        <f>'Input data'!B134</f>
        <v>68.236626094715163</v>
      </c>
      <c r="C114" s="1550">
        <f>'Input data'!C134</f>
        <v>5880.7243334969316</v>
      </c>
      <c r="D114" s="1552">
        <f>'Input data'!D134</f>
        <v>40488564.369250603</v>
      </c>
      <c r="E114" s="1454">
        <f t="shared" si="29"/>
        <v>0.86172121212121189</v>
      </c>
      <c r="F114" s="1504">
        <f t="shared" si="30"/>
        <v>0.32960151515151509</v>
      </c>
      <c r="G114" s="1509">
        <f>B114*F114*'Input data'!$C$9</f>
        <v>688.38086809685626</v>
      </c>
      <c r="H114" s="1508">
        <f>'Input data'!I134</f>
        <v>424.26313389388866</v>
      </c>
      <c r="I114" s="1509">
        <f>'Input data'!K134</f>
        <v>28950.284833289355</v>
      </c>
      <c r="J114" s="1509">
        <f t="shared" si="87"/>
        <v>4516.7640866293577</v>
      </c>
      <c r="K114" s="1511">
        <f t="shared" si="78"/>
        <v>8936.9673534471767</v>
      </c>
      <c r="L114" s="1504">
        <f t="shared" si="89"/>
        <v>0.57999999999999996</v>
      </c>
      <c r="M114" s="1504">
        <f t="shared" si="90"/>
        <v>0.437</v>
      </c>
      <c r="N114" s="1504">
        <f t="shared" si="91"/>
        <v>0.71200000000000008</v>
      </c>
      <c r="O114" s="1504">
        <f t="shared" si="92"/>
        <v>0.8</v>
      </c>
      <c r="P114" s="1504">
        <f t="shared" si="92"/>
        <v>0.23600000000000002</v>
      </c>
      <c r="Q114" s="1508">
        <f t="shared" si="36"/>
        <v>0</v>
      </c>
      <c r="R114" s="1509">
        <f t="shared" si="37"/>
        <v>0</v>
      </c>
      <c r="S114" s="1509">
        <f t="shared" si="38"/>
        <v>0</v>
      </c>
      <c r="T114" s="1509">
        <f t="shared" si="39"/>
        <v>0</v>
      </c>
      <c r="U114" s="1511">
        <f t="shared" si="40"/>
        <v>0</v>
      </c>
      <c r="V114" s="1509">
        <f t="shared" si="10"/>
        <v>0</v>
      </c>
      <c r="W114" s="1454">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91.80856650124116</v>
      </c>
      <c r="BW114" s="114">
        <f t="shared" si="65"/>
        <v>0.59799377129441522</v>
      </c>
      <c r="BX114" s="1686">
        <f t="shared" si="25"/>
        <v>40.488564369250604</v>
      </c>
      <c r="BY114" s="527">
        <f t="shared" si="66"/>
        <v>91.80856650124116</v>
      </c>
      <c r="BZ114" s="417">
        <f t="shared" si="67"/>
        <v>0.59799377129441522</v>
      </c>
      <c r="CA114" s="544">
        <f t="shared" si="26"/>
        <v>40.488564369250604</v>
      </c>
      <c r="CB114" s="649">
        <f t="shared" si="27"/>
        <v>0.29484629303664733</v>
      </c>
      <c r="CC114" s="525">
        <f t="shared" si="68"/>
        <v>0.35819600168190047</v>
      </c>
      <c r="CD114" s="417">
        <f t="shared" si="28"/>
        <v>0.29484629303664733</v>
      </c>
      <c r="CE114" s="525">
        <f t="shared" si="69"/>
        <v>0.35819600168190047</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1">
        <f>'Input data'!B135</f>
        <v>68.818976000000006</v>
      </c>
      <c r="C115" s="1550">
        <f>'Input data'!C135</f>
        <v>6030.7021264561972</v>
      </c>
      <c r="D115" s="1552">
        <f>'Input data'!D135</f>
        <v>31941700.142198853</v>
      </c>
      <c r="E115" s="1454">
        <f t="shared" si="29"/>
        <v>0.87036363636363612</v>
      </c>
      <c r="F115" s="1504">
        <f t="shared" si="30"/>
        <v>0.33195454545454539</v>
      </c>
      <c r="G115" s="1509">
        <f>B115*F115*'Input data'!$C$9</f>
        <v>699.21199957882664</v>
      </c>
      <c r="H115" s="1508">
        <f>'Input data'!I135</f>
        <v>424.26313389388866</v>
      </c>
      <c r="I115" s="1509">
        <f>'Input data'!K135</f>
        <v>29197.354429128314</v>
      </c>
      <c r="J115" s="1509">
        <f t="shared" si="87"/>
        <v>4252.9511730415979</v>
      </c>
      <c r="K115" s="1511">
        <f t="shared" si="78"/>
        <v>9315.5980661884496</v>
      </c>
      <c r="L115" s="1504">
        <f t="shared" si="89"/>
        <v>0.57999999999999996</v>
      </c>
      <c r="M115" s="1504">
        <f t="shared" si="90"/>
        <v>0.437</v>
      </c>
      <c r="N115" s="1504">
        <f t="shared" si="91"/>
        <v>0.71200000000000008</v>
      </c>
      <c r="O115" s="1504">
        <f t="shared" si="92"/>
        <v>0.8</v>
      </c>
      <c r="P115" s="1504">
        <f t="shared" si="92"/>
        <v>0.23600000000000002</v>
      </c>
      <c r="Q115" s="1508">
        <f t="shared" si="36"/>
        <v>0</v>
      </c>
      <c r="R115" s="1509">
        <f t="shared" si="37"/>
        <v>0</v>
      </c>
      <c r="S115" s="1509">
        <f t="shared" si="38"/>
        <v>0</v>
      </c>
      <c r="T115" s="1509">
        <f t="shared" si="39"/>
        <v>0</v>
      </c>
      <c r="U115" s="1511">
        <f t="shared" si="40"/>
        <v>0</v>
      </c>
      <c r="V115" s="1509">
        <f t="shared" si="10"/>
        <v>0</v>
      </c>
      <c r="W115" s="1454">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86.819100328613885</v>
      </c>
      <c r="BW115" s="114">
        <f t="shared" si="65"/>
        <v>0.62124307727646377</v>
      </c>
      <c r="BX115" s="1686">
        <f t="shared" si="25"/>
        <v>31.941700142198854</v>
      </c>
      <c r="BY115" s="527">
        <f t="shared" si="66"/>
        <v>86.819100328613885</v>
      </c>
      <c r="BZ115" s="417">
        <f t="shared" si="67"/>
        <v>0.62124307727646377</v>
      </c>
      <c r="CA115" s="544">
        <f t="shared" si="26"/>
        <v>31.941700142198854</v>
      </c>
      <c r="CB115" s="649">
        <f t="shared" si="27"/>
        <v>0.31069930485615582</v>
      </c>
      <c r="CC115" s="525">
        <f t="shared" si="68"/>
        <v>0.36177001643626483</v>
      </c>
      <c r="CD115" s="417">
        <f t="shared" si="28"/>
        <v>0.31069930485615582</v>
      </c>
      <c r="CE115" s="525">
        <f t="shared" si="69"/>
        <v>0.36177001643626483</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1">
        <f>'Input data'!B136</f>
        <v>69.322810489383542</v>
      </c>
      <c r="C116" s="1550">
        <f>'Input data'!C136</f>
        <v>6175.9287194301432</v>
      </c>
      <c r="D116" s="1552">
        <f>'Input data'!D136</f>
        <v>22500187.169642892</v>
      </c>
      <c r="E116" s="1454">
        <f t="shared" si="29"/>
        <v>0.87900606060606035</v>
      </c>
      <c r="F116" s="1504">
        <f t="shared" si="30"/>
        <v>0.33430757575757569</v>
      </c>
      <c r="G116" s="1509">
        <f>B116*F116*'Input data'!$C$9</f>
        <v>709.32362801394981</v>
      </c>
      <c r="H116" s="1508">
        <f>'Input data'!I136</f>
        <v>424.26313389388866</v>
      </c>
      <c r="I116" s="1509">
        <f>'Input data'!K136</f>
        <v>29411.112828557998</v>
      </c>
      <c r="J116" s="1509">
        <f t="shared" si="87"/>
        <v>3989.1382594538386</v>
      </c>
      <c r="K116" s="1511">
        <f t="shared" si="78"/>
        <v>9678.7484514297066</v>
      </c>
      <c r="L116" s="1504">
        <f t="shared" si="89"/>
        <v>0.57999999999999996</v>
      </c>
      <c r="M116" s="1504">
        <f t="shared" si="90"/>
        <v>0.437</v>
      </c>
      <c r="N116" s="1504">
        <f t="shared" si="91"/>
        <v>0.71200000000000008</v>
      </c>
      <c r="O116" s="1504">
        <f t="shared" si="92"/>
        <v>0.8</v>
      </c>
      <c r="P116" s="1504">
        <f t="shared" si="92"/>
        <v>0.23600000000000002</v>
      </c>
      <c r="Q116" s="1508">
        <f t="shared" si="36"/>
        <v>0</v>
      </c>
      <c r="R116" s="1509">
        <f t="shared" si="37"/>
        <v>0</v>
      </c>
      <c r="S116" s="1509">
        <f t="shared" si="38"/>
        <v>0</v>
      </c>
      <c r="T116" s="1509">
        <f t="shared" si="39"/>
        <v>0</v>
      </c>
      <c r="U116" s="1511">
        <f t="shared" si="40"/>
        <v>0</v>
      </c>
      <c r="V116" s="1509">
        <f t="shared" si="10"/>
        <v>0</v>
      </c>
      <c r="W116" s="1454">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84.37544263556687</v>
      </c>
      <c r="BW116" s="114">
        <f t="shared" si="65"/>
        <v>0.62528972805676331</v>
      </c>
      <c r="BX116" s="1686">
        <f t="shared" si="25"/>
        <v>22.500187169642892</v>
      </c>
      <c r="BY116" s="527">
        <f t="shared" si="66"/>
        <v>84.37544263556687</v>
      </c>
      <c r="BZ116" s="417">
        <f t="shared" si="67"/>
        <v>0.62528972805676331</v>
      </c>
      <c r="CA116" s="544">
        <f t="shared" si="26"/>
        <v>22.500187169642892</v>
      </c>
      <c r="CB116" s="649">
        <f t="shared" si="27"/>
        <v>0.32580167937132221</v>
      </c>
      <c r="CC116" s="525">
        <f t="shared" si="68"/>
        <v>0.33321823879140899</v>
      </c>
      <c r="CD116" s="417">
        <f t="shared" si="28"/>
        <v>0.32580167937132221</v>
      </c>
      <c r="CE116" s="525">
        <f t="shared" si="69"/>
        <v>0.33321823879140899</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1">
        <f>'Input data'!B137</f>
        <v>69.830333629884052</v>
      </c>
      <c r="C117" s="1550">
        <f>'Input data'!C137</f>
        <v>6338.2033947034479</v>
      </c>
      <c r="D117" s="1552">
        <f>'Input data'!D137</f>
        <v>17781297.212015409</v>
      </c>
      <c r="E117" s="1454">
        <f t="shared" si="29"/>
        <v>0.88764848484848458</v>
      </c>
      <c r="F117" s="1504">
        <f t="shared" si="30"/>
        <v>0.33666060606060599</v>
      </c>
      <c r="G117" s="1509">
        <f>B117*F117*'Input data'!$C$9</f>
        <v>719.54583678051574</v>
      </c>
      <c r="H117" s="1508">
        <f>'Input data'!I137</f>
        <v>424.26313389388866</v>
      </c>
      <c r="I117" s="1509">
        <f>'Input data'!K137</f>
        <v>29626.436186670413</v>
      </c>
      <c r="J117" s="1509">
        <f>J97*(1-$C$5)</f>
        <v>3900.4110186862777</v>
      </c>
      <c r="K117" s="1511">
        <f t="shared" si="78"/>
        <v>9867.5404290211609</v>
      </c>
      <c r="L117" s="1504">
        <f t="shared" si="89"/>
        <v>0.57999999999999996</v>
      </c>
      <c r="M117" s="1504">
        <f t="shared" si="90"/>
        <v>0.437</v>
      </c>
      <c r="N117" s="1504">
        <f t="shared" si="91"/>
        <v>0.71200000000000008</v>
      </c>
      <c r="O117" s="1504">
        <f t="shared" si="92"/>
        <v>0.8</v>
      </c>
      <c r="P117" s="1504">
        <f>P116</f>
        <v>0.23600000000000002</v>
      </c>
      <c r="Q117" s="1508">
        <f t="shared" si="36"/>
        <v>0</v>
      </c>
      <c r="R117" s="1509">
        <f t="shared" si="37"/>
        <v>0</v>
      </c>
      <c r="S117" s="1509">
        <f t="shared" si="38"/>
        <v>0</v>
      </c>
      <c r="T117" s="1509">
        <f t="shared" si="39"/>
        <v>0</v>
      </c>
      <c r="U117" s="1511">
        <f t="shared" si="40"/>
        <v>0</v>
      </c>
      <c r="V117" s="1509">
        <f t="shared" si="10"/>
        <v>0</v>
      </c>
      <c r="W117" s="1454">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83.233486564170803</v>
      </c>
      <c r="BW117" s="114">
        <f t="shared" si="65"/>
        <v>0.63284500019170653</v>
      </c>
      <c r="BX117" s="1686">
        <f t="shared" si="25"/>
        <v>17.78129721201541</v>
      </c>
      <c r="BY117" s="527">
        <f t="shared" si="66"/>
        <v>83.233486564170803</v>
      </c>
      <c r="BZ117" s="417">
        <f t="shared" si="67"/>
        <v>0.63284500019170653</v>
      </c>
      <c r="CA117" s="544">
        <f t="shared" si="26"/>
        <v>17.78129721201541</v>
      </c>
      <c r="CB117" s="649">
        <f t="shared" si="27"/>
        <v>0.33280193124638935</v>
      </c>
      <c r="CC117" s="525">
        <f t="shared" si="68"/>
        <v>0.32508358104064694</v>
      </c>
      <c r="CD117" s="417">
        <f t="shared" si="28"/>
        <v>0.33280193124638935</v>
      </c>
      <c r="CE117" s="525">
        <f t="shared" si="69"/>
        <v>0.32508358104064694</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1">
        <f>'Input data'!B138</f>
        <v>70.341572426693446</v>
      </c>
      <c r="C118" s="1550">
        <f>'Input data'!C138</f>
        <v>6499.2753713641341</v>
      </c>
      <c r="D118" s="1552">
        <f>'Input data'!D138</f>
        <v>14837853.800490763</v>
      </c>
      <c r="E118" s="1454">
        <f t="shared" si="29"/>
        <v>0.89629090909090881</v>
      </c>
      <c r="F118" s="1504">
        <f t="shared" si="30"/>
        <v>0.33901363636363629</v>
      </c>
      <c r="G118" s="1509">
        <f>B118*F118*'Input data'!$C$9</f>
        <v>729.87970305381032</v>
      </c>
      <c r="H118" s="1508">
        <f>'Input data'!I138</f>
        <v>424.26313389388866</v>
      </c>
      <c r="I118" s="1509">
        <f>'Input data'!K138</f>
        <v>29843.335960772907</v>
      </c>
      <c r="J118" s="1509">
        <f t="shared" ref="J118:J126" si="94">($J$127-$J$117)/($A$127-$A$117)+J117</f>
        <v>3733.2505464568658</v>
      </c>
      <c r="K118" s="1511">
        <f t="shared" si="78"/>
        <v>10135.498227666953</v>
      </c>
      <c r="L118" s="1504">
        <f t="shared" si="89"/>
        <v>0.57999999999999996</v>
      </c>
      <c r="M118" s="1504">
        <f t="shared" si="90"/>
        <v>0.437</v>
      </c>
      <c r="N118" s="1504">
        <f t="shared" si="91"/>
        <v>0.71200000000000008</v>
      </c>
      <c r="O118" s="1504">
        <f t="shared" si="92"/>
        <v>0.8</v>
      </c>
      <c r="P118" s="1504">
        <f t="shared" si="92"/>
        <v>0.23600000000000002</v>
      </c>
      <c r="Q118" s="1508">
        <f t="shared" si="36"/>
        <v>0</v>
      </c>
      <c r="R118" s="1509">
        <f t="shared" si="37"/>
        <v>0</v>
      </c>
      <c r="S118" s="1509">
        <f t="shared" si="38"/>
        <v>0</v>
      </c>
      <c r="T118" s="1509">
        <f t="shared" si="39"/>
        <v>0</v>
      </c>
      <c r="U118" s="1511">
        <f t="shared" si="40"/>
        <v>0</v>
      </c>
      <c r="V118" s="1509">
        <f t="shared" si="10"/>
        <v>0</v>
      </c>
      <c r="W118" s="1454">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82.370283389391346</v>
      </c>
      <c r="BW118" s="114">
        <f t="shared" si="65"/>
        <v>0.64236711837615856</v>
      </c>
      <c r="BX118" s="1686">
        <f t="shared" si="25"/>
        <v>14.837853800490763</v>
      </c>
      <c r="BY118" s="527">
        <f t="shared" si="66"/>
        <v>82.370283389391346</v>
      </c>
      <c r="BZ118" s="417">
        <f t="shared" si="67"/>
        <v>0.64236711837615856</v>
      </c>
      <c r="CA118" s="544">
        <f t="shared" si="26"/>
        <v>14.837853800490763</v>
      </c>
      <c r="CB118" s="649">
        <f t="shared" si="27"/>
        <v>0.3432238595609628</v>
      </c>
      <c r="CC118" s="525">
        <f t="shared" si="68"/>
        <v>0.32527933662439845</v>
      </c>
      <c r="CD118" s="417">
        <f t="shared" si="28"/>
        <v>0.3432238595609628</v>
      </c>
      <c r="CE118" s="525">
        <f t="shared" si="69"/>
        <v>0.32527933662439845</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1">
        <f>'Input data'!B139</f>
        <v>70.856554082712819</v>
      </c>
      <c r="C119" s="1550">
        <f>'Input data'!C139</f>
        <v>6668.6889746882025</v>
      </c>
      <c r="D119" s="1552">
        <f>'Input data'!D139</f>
        <v>11894410.388966125</v>
      </c>
      <c r="E119" s="1454">
        <f t="shared" si="29"/>
        <v>0.90493333333333303</v>
      </c>
      <c r="F119" s="1504">
        <f t="shared" si="30"/>
        <v>0.3413666666666666</v>
      </c>
      <c r="G119" s="1509">
        <f>B119*F119*'Input data'!$C$9</f>
        <v>740.32631385442471</v>
      </c>
      <c r="H119" s="1508">
        <f>'Input data'!I139</f>
        <v>424.26313389388866</v>
      </c>
      <c r="I119" s="1509">
        <f>'Input data'!K139</f>
        <v>30061.823692053553</v>
      </c>
      <c r="J119" s="1509">
        <f t="shared" si="94"/>
        <v>3566.0900742274539</v>
      </c>
      <c r="K119" s="1511">
        <f t="shared" si="78"/>
        <v>10404.19397930824</v>
      </c>
      <c r="L119" s="1504">
        <f t="shared" si="89"/>
        <v>0.57999999999999996</v>
      </c>
      <c r="M119" s="1504">
        <f t="shared" si="90"/>
        <v>0.437</v>
      </c>
      <c r="N119" s="1504">
        <f t="shared" si="91"/>
        <v>0.71200000000000008</v>
      </c>
      <c r="O119" s="1504">
        <f t="shared" si="92"/>
        <v>0.8</v>
      </c>
      <c r="P119" s="1504">
        <f t="shared" si="92"/>
        <v>0.23600000000000002</v>
      </c>
      <c r="Q119" s="1508">
        <f t="shared" si="36"/>
        <v>0</v>
      </c>
      <c r="R119" s="1509">
        <f t="shared" si="37"/>
        <v>0</v>
      </c>
      <c r="S119" s="1509">
        <f t="shared" si="38"/>
        <v>0</v>
      </c>
      <c r="T119" s="1509">
        <f t="shared" si="39"/>
        <v>0</v>
      </c>
      <c r="U119" s="1511">
        <f t="shared" si="40"/>
        <v>0</v>
      </c>
      <c r="V119" s="1509">
        <f t="shared" si="10"/>
        <v>0</v>
      </c>
      <c r="W119" s="1454">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81.5832751582317</v>
      </c>
      <c r="BW119" s="114">
        <f t="shared" si="65"/>
        <v>0.65201466898167093</v>
      </c>
      <c r="BX119" s="1686">
        <f t="shared" si="25"/>
        <v>11.894410388966124</v>
      </c>
      <c r="BY119" s="527">
        <f t="shared" si="66"/>
        <v>81.5832751582317</v>
      </c>
      <c r="BZ119" s="417">
        <f t="shared" si="67"/>
        <v>0.65201466898167093</v>
      </c>
      <c r="CA119" s="544">
        <f t="shared" si="26"/>
        <v>11.894410388966124</v>
      </c>
      <c r="CB119" s="649">
        <f t="shared" si="27"/>
        <v>0.35350649570399229</v>
      </c>
      <c r="CC119" s="525">
        <f t="shared" si="68"/>
        <v>0.32539461288885452</v>
      </c>
      <c r="CD119" s="417">
        <f t="shared" si="28"/>
        <v>0.35350649570399229</v>
      </c>
      <c r="CE119" s="525">
        <f t="shared" si="69"/>
        <v>0.32539461288885452</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1">
        <f>'Input data'!B140</f>
        <v>71.375305999999995</v>
      </c>
      <c r="C120" s="1550">
        <f>'Input data'!C140</f>
        <v>6840.2471934556306</v>
      </c>
      <c r="D120" s="1552">
        <f>'Input data'!D140</f>
        <v>8950966.9774414804</v>
      </c>
      <c r="E120" s="1454">
        <f t="shared" si="29"/>
        <v>0.91357575757575726</v>
      </c>
      <c r="F120" s="1504">
        <f t="shared" si="30"/>
        <v>0.3437196969696969</v>
      </c>
      <c r="G120" s="1509">
        <f>B120*F120*'Input data'!$C$9</f>
        <v>750.88676613467851</v>
      </c>
      <c r="H120" s="1508">
        <f>'Input data'!I140</f>
        <v>424.26313389388866</v>
      </c>
      <c r="I120" s="1509">
        <f>'Input data'!K140</f>
        <v>30281.911006195274</v>
      </c>
      <c r="J120" s="1509">
        <f t="shared" si="94"/>
        <v>3398.929601998042</v>
      </c>
      <c r="K120" s="1511">
        <f t="shared" si="78"/>
        <v>10673.633086614351</v>
      </c>
      <c r="L120" s="1504">
        <f t="shared" si="89"/>
        <v>0.57999999999999996</v>
      </c>
      <c r="M120" s="1504">
        <f t="shared" si="90"/>
        <v>0.437</v>
      </c>
      <c r="N120" s="1504">
        <f t="shared" si="91"/>
        <v>0.71200000000000008</v>
      </c>
      <c r="O120" s="1504">
        <f t="shared" si="92"/>
        <v>0.8</v>
      </c>
      <c r="P120" s="1504">
        <f t="shared" si="92"/>
        <v>0.23600000000000002</v>
      </c>
      <c r="Q120" s="1508">
        <f t="shared" si="36"/>
        <v>0</v>
      </c>
      <c r="R120" s="1509">
        <f t="shared" si="37"/>
        <v>0</v>
      </c>
      <c r="S120" s="1509">
        <f t="shared" si="38"/>
        <v>0</v>
      </c>
      <c r="T120" s="1509">
        <f t="shared" si="39"/>
        <v>0</v>
      </c>
      <c r="U120" s="1511">
        <f t="shared" si="40"/>
        <v>0</v>
      </c>
      <c r="V120" s="1509">
        <f t="shared" si="10"/>
        <v>0</v>
      </c>
      <c r="W120" s="1454">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80.839538484890866</v>
      </c>
      <c r="BW120" s="114">
        <f t="shared" si="65"/>
        <v>0.66164047894984246</v>
      </c>
      <c r="BX120" s="1686">
        <f t="shared" si="25"/>
        <v>8.95096697744148</v>
      </c>
      <c r="BY120" s="527">
        <f t="shared" si="66"/>
        <v>80.839538484890866</v>
      </c>
      <c r="BZ120" s="417">
        <f t="shared" si="67"/>
        <v>0.66164047894984246</v>
      </c>
      <c r="CA120" s="544">
        <f t="shared" si="26"/>
        <v>8.95096697744148</v>
      </c>
      <c r="CB120" s="649">
        <f t="shared" si="27"/>
        <v>0.36365151761921655</v>
      </c>
      <c r="CC120" s="525">
        <f t="shared" si="68"/>
        <v>0.32523625555257951</v>
      </c>
      <c r="CD120" s="417">
        <f t="shared" si="28"/>
        <v>0.36365151761921655</v>
      </c>
      <c r="CE120" s="525">
        <f t="shared" si="69"/>
        <v>0.32523625555257951</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1">
        <f>'Input data'!B141</f>
        <v>71.818612994947316</v>
      </c>
      <c r="C121" s="1550">
        <f>'Input data'!C141</f>
        <v>7028.9784058300729</v>
      </c>
      <c r="D121" s="1552">
        <f>'Input data'!D141</f>
        <v>7408427.529416549</v>
      </c>
      <c r="E121" s="1454">
        <f t="shared" si="29"/>
        <v>0.92221818181818149</v>
      </c>
      <c r="F121" s="1504">
        <f t="shared" si="30"/>
        <v>0.3460727272727272</v>
      </c>
      <c r="G121" s="1509">
        <f>B121*F121*'Input data'!$C$9</f>
        <v>760.72280514389797</v>
      </c>
      <c r="H121" s="1508">
        <f>'Input data'!I141</f>
        <v>424.26313389388866</v>
      </c>
      <c r="I121" s="1509">
        <f>'Input data'!K141</f>
        <v>30469.989821148705</v>
      </c>
      <c r="J121" s="1509">
        <f t="shared" si="94"/>
        <v>3231.7691297686301</v>
      </c>
      <c r="K121" s="1511">
        <f t="shared" si="78"/>
        <v>10928.197253851338</v>
      </c>
      <c r="L121" s="1504">
        <f t="shared" si="89"/>
        <v>0.57999999999999996</v>
      </c>
      <c r="M121" s="1504">
        <f t="shared" si="90"/>
        <v>0.437</v>
      </c>
      <c r="N121" s="1504">
        <f t="shared" si="91"/>
        <v>0.71200000000000008</v>
      </c>
      <c r="O121" s="1504">
        <f t="shared" si="92"/>
        <v>0.8</v>
      </c>
      <c r="P121" s="1504">
        <f t="shared" si="92"/>
        <v>0.23600000000000002</v>
      </c>
      <c r="Q121" s="1508">
        <f t="shared" si="36"/>
        <v>0</v>
      </c>
      <c r="R121" s="1509">
        <f t="shared" si="37"/>
        <v>0</v>
      </c>
      <c r="S121" s="1509">
        <f t="shared" si="38"/>
        <v>0</v>
      </c>
      <c r="T121" s="1509">
        <f t="shared" si="39"/>
        <v>0</v>
      </c>
      <c r="U121" s="1511">
        <f t="shared" si="40"/>
        <v>0</v>
      </c>
      <c r="V121" s="1509">
        <f t="shared" si="10"/>
        <v>0</v>
      </c>
      <c r="W121" s="1454">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80.021951089495786</v>
      </c>
      <c r="BW121" s="114">
        <f t="shared" si="65"/>
        <v>0.6765639058853774</v>
      </c>
      <c r="BX121" s="1686">
        <f t="shared" si="25"/>
        <v>7.4084275294165494</v>
      </c>
      <c r="BY121" s="527">
        <f t="shared" si="66"/>
        <v>80.021951089495786</v>
      </c>
      <c r="BZ121" s="417">
        <f t="shared" si="67"/>
        <v>0.6765639058853774</v>
      </c>
      <c r="CA121" s="544">
        <f t="shared" si="26"/>
        <v>7.4084275294165494</v>
      </c>
      <c r="CB121" s="649">
        <f t="shared" si="27"/>
        <v>0.37326134680596657</v>
      </c>
      <c r="CC121" s="525">
        <f t="shared" si="68"/>
        <v>0.33758481679476227</v>
      </c>
      <c r="CD121" s="417">
        <f t="shared" si="28"/>
        <v>0.37326134680596657</v>
      </c>
      <c r="CE121" s="525">
        <f t="shared" si="69"/>
        <v>0.33758481679476227</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1">
        <f>'Input data'!B142</f>
        <v>72.264673338395411</v>
      </c>
      <c r="C122" s="1550">
        <f>'Input data'!C142</f>
        <v>7212.2527913428794</v>
      </c>
      <c r="D122" s="1552">
        <f>'Input data'!D142</f>
        <v>5865888.0813916186</v>
      </c>
      <c r="E122" s="1454">
        <f t="shared" si="29"/>
        <v>0.93086060606060572</v>
      </c>
      <c r="F122" s="1504">
        <f t="shared" si="30"/>
        <v>0.3484257575757575</v>
      </c>
      <c r="G122" s="1509">
        <f>B122*F122*'Input data'!$C$9</f>
        <v>770.6520601014862</v>
      </c>
      <c r="H122" s="1508">
        <f>'Input data'!I142</f>
        <v>424.26313389388866</v>
      </c>
      <c r="I122" s="1509">
        <f>'Input data'!K142</f>
        <v>30659.23678036578</v>
      </c>
      <c r="J122" s="1509">
        <f t="shared" si="94"/>
        <v>3064.6086575392183</v>
      </c>
      <c r="K122" s="1511">
        <f t="shared" si="78"/>
        <v>11183.304279277698</v>
      </c>
      <c r="L122" s="1504">
        <f t="shared" si="89"/>
        <v>0.57999999999999996</v>
      </c>
      <c r="M122" s="1504">
        <f t="shared" si="90"/>
        <v>0.437</v>
      </c>
      <c r="N122" s="1504">
        <f t="shared" si="91"/>
        <v>0.71200000000000008</v>
      </c>
      <c r="O122" s="1504">
        <f t="shared" si="92"/>
        <v>0.8</v>
      </c>
      <c r="P122" s="1504">
        <f t="shared" si="92"/>
        <v>0.23600000000000002</v>
      </c>
      <c r="Q122" s="1508">
        <f t="shared" si="36"/>
        <v>0</v>
      </c>
      <c r="R122" s="1509">
        <f t="shared" si="37"/>
        <v>0</v>
      </c>
      <c r="S122" s="1509">
        <f t="shared" si="38"/>
        <v>0</v>
      </c>
      <c r="T122" s="1509">
        <f t="shared" si="39"/>
        <v>0</v>
      </c>
      <c r="U122" s="1511">
        <f t="shared" si="40"/>
        <v>0</v>
      </c>
      <c r="V122" s="1509">
        <f t="shared" si="10"/>
        <v>0</v>
      </c>
      <c r="W122" s="1454">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79.247861030754621</v>
      </c>
      <c r="BW122" s="114">
        <f t="shared" si="65"/>
        <v>0.69106927393185447</v>
      </c>
      <c r="BX122" s="1686">
        <f t="shared" si="25"/>
        <v>5.8658880813916188</v>
      </c>
      <c r="BY122" s="527">
        <f t="shared" si="66"/>
        <v>79.247861030754621</v>
      </c>
      <c r="BZ122" s="417">
        <f t="shared" si="67"/>
        <v>0.69106927393185447</v>
      </c>
      <c r="CA122" s="544">
        <f t="shared" si="26"/>
        <v>5.8658880813916188</v>
      </c>
      <c r="CB122" s="649">
        <f t="shared" si="27"/>
        <v>0.38275965270757828</v>
      </c>
      <c r="CC122" s="525">
        <f t="shared" si="68"/>
        <v>0.34881469113150709</v>
      </c>
      <c r="CD122" s="417">
        <f t="shared" si="28"/>
        <v>0.38275965270757828</v>
      </c>
      <c r="CE122" s="525">
        <f t="shared" si="69"/>
        <v>0.34881469113150709</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1">
        <f>'Input data'!B143</f>
        <v>72.713504131197794</v>
      </c>
      <c r="C123" s="1550">
        <f>'Input data'!C143</f>
        <v>7399.5467373897327</v>
      </c>
      <c r="D123" s="1552">
        <f>'Input data'!D143</f>
        <v>4323348.6333666872</v>
      </c>
      <c r="E123" s="1454">
        <f t="shared" si="29"/>
        <v>0.93950303030302995</v>
      </c>
      <c r="F123" s="1504">
        <f t="shared" si="30"/>
        <v>0.3507787878787878</v>
      </c>
      <c r="G123" s="1509">
        <f>B123*F123*'Input data'!$C$9</f>
        <v>780.67530949126035</v>
      </c>
      <c r="H123" s="1508">
        <f>'Input data'!I143</f>
        <v>424.26313389388866</v>
      </c>
      <c r="I123" s="1509">
        <f>'Input data'!K143</f>
        <v>30849.659139108197</v>
      </c>
      <c r="J123" s="1509">
        <f t="shared" si="94"/>
        <v>2897.4481853098064</v>
      </c>
      <c r="K123" s="1511">
        <f t="shared" si="78"/>
        <v>11438.957534547382</v>
      </c>
      <c r="L123" s="1504">
        <f t="shared" si="89"/>
        <v>0.57999999999999996</v>
      </c>
      <c r="M123" s="1504">
        <f t="shared" si="90"/>
        <v>0.437</v>
      </c>
      <c r="N123" s="1504">
        <f t="shared" si="91"/>
        <v>0.71200000000000008</v>
      </c>
      <c r="O123" s="1504">
        <f t="shared" si="92"/>
        <v>0.8</v>
      </c>
      <c r="P123" s="1504">
        <f t="shared" si="92"/>
        <v>0.23600000000000002</v>
      </c>
      <c r="Q123" s="1508">
        <f t="shared" si="36"/>
        <v>0</v>
      </c>
      <c r="R123" s="1509">
        <f t="shared" si="37"/>
        <v>0</v>
      </c>
      <c r="S123" s="1509">
        <f t="shared" si="38"/>
        <v>0</v>
      </c>
      <c r="T123" s="1509">
        <f t="shared" si="39"/>
        <v>0</v>
      </c>
      <c r="U123" s="1511">
        <f t="shared" si="40"/>
        <v>0</v>
      </c>
      <c r="V123" s="1509">
        <f t="shared" si="10"/>
        <v>0</v>
      </c>
      <c r="W123" s="1454">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78.561996486089981</v>
      </c>
      <c r="BW123" s="114">
        <f t="shared" si="65"/>
        <v>0.70533714961588401</v>
      </c>
      <c r="BX123" s="1686">
        <f t="shared" si="25"/>
        <v>4.3233486333666873</v>
      </c>
      <c r="BY123" s="527">
        <f t="shared" si="66"/>
        <v>78.561996486089981</v>
      </c>
      <c r="BZ123" s="417">
        <f t="shared" si="67"/>
        <v>0.70533714961588401</v>
      </c>
      <c r="CA123" s="544">
        <f t="shared" si="26"/>
        <v>4.3233486333666873</v>
      </c>
      <c r="CB123" s="649">
        <f t="shared" si="27"/>
        <v>0.39214758076794598</v>
      </c>
      <c r="CC123" s="525">
        <f t="shared" si="68"/>
        <v>0.35927720293952825</v>
      </c>
      <c r="CD123" s="417">
        <f t="shared" si="28"/>
        <v>0.39214758076794598</v>
      </c>
      <c r="CE123" s="525">
        <f t="shared" si="69"/>
        <v>0.35927720293952825</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1">
        <f>'Input data'!B144</f>
        <v>73.165122580420132</v>
      </c>
      <c r="C124" s="1550">
        <f>'Input data'!C144</f>
        <v>7593.410855692503</v>
      </c>
      <c r="D124" s="1552">
        <f>'Input data'!D144</f>
        <v>2780809.1853417563</v>
      </c>
      <c r="E124" s="1454">
        <f t="shared" si="29"/>
        <v>0.94814545454545418</v>
      </c>
      <c r="F124" s="1504">
        <f t="shared" si="30"/>
        <v>0.3531318181818181</v>
      </c>
      <c r="G124" s="1509">
        <f>B124*F124*'Input data'!$C$9</f>
        <v>790.79333787138808</v>
      </c>
      <c r="H124" s="1508">
        <f>'Input data'!I144</f>
        <v>424.26313389388866</v>
      </c>
      <c r="I124" s="1509">
        <f>'Input data'!K144</f>
        <v>31041.264197699562</v>
      </c>
      <c r="J124" s="1509">
        <f t="shared" si="94"/>
        <v>2730.2877130803945</v>
      </c>
      <c r="K124" s="1511">
        <f t="shared" si="78"/>
        <v>11695.160412255453</v>
      </c>
      <c r="L124" s="1504">
        <f t="shared" si="89"/>
        <v>0.57999999999999996</v>
      </c>
      <c r="M124" s="1504">
        <f t="shared" si="90"/>
        <v>0.437</v>
      </c>
      <c r="N124" s="1504">
        <f t="shared" si="91"/>
        <v>0.71200000000000008</v>
      </c>
      <c r="O124" s="1504">
        <f t="shared" si="92"/>
        <v>0.8</v>
      </c>
      <c r="P124" s="1504">
        <f t="shared" si="92"/>
        <v>0.23600000000000002</v>
      </c>
      <c r="Q124" s="1508">
        <f t="shared" si="36"/>
        <v>0</v>
      </c>
      <c r="R124" s="1509">
        <f t="shared" si="37"/>
        <v>0</v>
      </c>
      <c r="S124" s="1509">
        <f t="shared" si="38"/>
        <v>0</v>
      </c>
      <c r="T124" s="1509">
        <f t="shared" si="39"/>
        <v>0</v>
      </c>
      <c r="U124" s="1511">
        <f t="shared" si="40"/>
        <v>0</v>
      </c>
      <c r="V124" s="1509">
        <f t="shared" si="10"/>
        <v>0</v>
      </c>
      <c r="W124" s="1454">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77.973783621294899</v>
      </c>
      <c r="BW124" s="114">
        <f t="shared" si="65"/>
        <v>0.71939358822611521</v>
      </c>
      <c r="BX124" s="1686">
        <f t="shared" si="25"/>
        <v>2.7808091853417563</v>
      </c>
      <c r="BY124" s="527">
        <f t="shared" si="66"/>
        <v>77.973783621294899</v>
      </c>
      <c r="BZ124" s="417">
        <f t="shared" si="67"/>
        <v>0.71939358822611521</v>
      </c>
      <c r="CA124" s="544">
        <f t="shared" si="26"/>
        <v>2.7808091853417563</v>
      </c>
      <c r="CB124" s="649">
        <f t="shared" si="27"/>
        <v>0.40142626362055789</v>
      </c>
      <c r="CC124" s="525">
        <f t="shared" si="68"/>
        <v>0.36907916925942497</v>
      </c>
      <c r="CD124" s="417">
        <f t="shared" si="28"/>
        <v>0.40142626362055789</v>
      </c>
      <c r="CE124" s="525">
        <f t="shared" si="69"/>
        <v>0.36907916925942497</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1">
        <f>'Input data'!B145</f>
        <v>73.619545999999971</v>
      </c>
      <c r="C125" s="1550">
        <f>'Input data'!C145</f>
        <v>7794.8943128616638</v>
      </c>
      <c r="D125" s="1552">
        <f>'Input data'!D145</f>
        <v>1238269.7373168254</v>
      </c>
      <c r="E125" s="1454">
        <f t="shared" si="29"/>
        <v>0.95678787878787841</v>
      </c>
      <c r="F125" s="1504">
        <f t="shared" si="30"/>
        <v>0.3554848484848484</v>
      </c>
      <c r="G125" s="1509">
        <f>B125*F125*'Input data'!$C$9</f>
        <v>801.00693591981212</v>
      </c>
      <c r="H125" s="1508">
        <f>'Input data'!I145</f>
        <v>424.26313389388866</v>
      </c>
      <c r="I125" s="1509">
        <f>'Input data'!K145</f>
        <v>31234.059301805282</v>
      </c>
      <c r="J125" s="1509">
        <f t="shared" si="94"/>
        <v>2563.1272408509826</v>
      </c>
      <c r="K125" s="1511">
        <f t="shared" si="78"/>
        <v>11951.916326068131</v>
      </c>
      <c r="L125" s="1504">
        <f t="shared" si="89"/>
        <v>0.57999999999999996</v>
      </c>
      <c r="M125" s="1504">
        <f t="shared" si="90"/>
        <v>0.437</v>
      </c>
      <c r="N125" s="1504">
        <f t="shared" si="91"/>
        <v>0.71200000000000008</v>
      </c>
      <c r="O125" s="1504">
        <f t="shared" si="92"/>
        <v>0.8</v>
      </c>
      <c r="P125" s="1504">
        <f t="shared" si="92"/>
        <v>0.23600000000000002</v>
      </c>
      <c r="Q125" s="1508">
        <f t="shared" si="36"/>
        <v>0</v>
      </c>
      <c r="R125" s="1509">
        <f t="shared" si="37"/>
        <v>0</v>
      </c>
      <c r="S125" s="1509">
        <f t="shared" si="38"/>
        <v>0</v>
      </c>
      <c r="T125" s="1509">
        <f t="shared" si="39"/>
        <v>0</v>
      </c>
      <c r="U125" s="1511">
        <f t="shared" si="40"/>
        <v>0</v>
      </c>
      <c r="V125" s="1509">
        <f t="shared" si="10"/>
        <v>0</v>
      </c>
      <c r="W125" s="1454">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77.485148656106887</v>
      </c>
      <c r="BW125" s="114">
        <f t="shared" si="65"/>
        <v>0.73323182044150303</v>
      </c>
      <c r="BX125" s="1686">
        <f t="shared" si="25"/>
        <v>1.2382697373168254</v>
      </c>
      <c r="BY125" s="527">
        <f t="shared" si="66"/>
        <v>77.485148656106887</v>
      </c>
      <c r="BZ125" s="417">
        <f t="shared" si="67"/>
        <v>0.73323182044150303</v>
      </c>
      <c r="CA125" s="544">
        <f t="shared" si="26"/>
        <v>1.2382697373168254</v>
      </c>
      <c r="CB125" s="649">
        <f t="shared" si="27"/>
        <v>0.41059682127280317</v>
      </c>
      <c r="CC125" s="525">
        <f t="shared" si="68"/>
        <v>0.37827491848304584</v>
      </c>
      <c r="CD125" s="417">
        <f t="shared" si="28"/>
        <v>0.41059682127280317</v>
      </c>
      <c r="CE125" s="525">
        <f t="shared" si="69"/>
        <v>0.37827491848304584</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1">
        <f>'Input data'!B146</f>
        <v>73.995362001779526</v>
      </c>
      <c r="C126" s="1550">
        <f>'Input data'!C146</f>
        <v>8018.9246673642956</v>
      </c>
      <c r="D126" s="1552">
        <f>'Input data'!D146</f>
        <v>1037510.1997812246</v>
      </c>
      <c r="E126" s="1454">
        <f t="shared" si="29"/>
        <v>0.96543030303030264</v>
      </c>
      <c r="F126" s="1504">
        <f t="shared" si="30"/>
        <v>0.3578378787878787</v>
      </c>
      <c r="G126" s="1509">
        <f>B126*F126*'Input data'!$C$9</f>
        <v>810.42505056127879</v>
      </c>
      <c r="H126" s="1508">
        <f>'Input data'!I146</f>
        <v>424.26313389388866</v>
      </c>
      <c r="I126" s="1509">
        <f>'Input data'!K146</f>
        <v>31393.50417648775</v>
      </c>
      <c r="J126" s="1509">
        <f t="shared" si="94"/>
        <v>2395.9667686215707</v>
      </c>
      <c r="K126" s="1511">
        <f>I126*$B$10-J126</f>
        <v>12193.173773019116</v>
      </c>
      <c r="L126" s="1504">
        <f t="shared" si="89"/>
        <v>0.57999999999999996</v>
      </c>
      <c r="M126" s="1504">
        <f t="shared" si="90"/>
        <v>0.437</v>
      </c>
      <c r="N126" s="1504">
        <f t="shared" si="91"/>
        <v>0.71200000000000008</v>
      </c>
      <c r="O126" s="1504">
        <f t="shared" si="92"/>
        <v>0.8</v>
      </c>
      <c r="P126" s="1504">
        <f t="shared" si="92"/>
        <v>0.23600000000000002</v>
      </c>
      <c r="Q126" s="1508">
        <f t="shared" si="36"/>
        <v>0</v>
      </c>
      <c r="R126" s="1509">
        <f t="shared" si="37"/>
        <v>0</v>
      </c>
      <c r="S126" s="1509">
        <f t="shared" si="38"/>
        <v>0</v>
      </c>
      <c r="T126" s="1509">
        <f t="shared" si="39"/>
        <v>0</v>
      </c>
      <c r="U126" s="1511">
        <f t="shared" si="40"/>
        <v>0</v>
      </c>
      <c r="V126" s="1509">
        <f t="shared" si="10"/>
        <v>0</v>
      </c>
      <c r="W126" s="1454">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77.428481926042451</v>
      </c>
      <c r="BW126" s="114">
        <f t="shared" si="65"/>
        <v>0.7479232210872786</v>
      </c>
      <c r="BX126" s="1686">
        <f t="shared" si="25"/>
        <v>1.0375101997812246</v>
      </c>
      <c r="BY126" s="527">
        <f t="shared" si="66"/>
        <v>77.428481926042451</v>
      </c>
      <c r="BZ126" s="417">
        <f t="shared" si="67"/>
        <v>0.7479232210872786</v>
      </c>
      <c r="CA126" s="544">
        <f t="shared" si="26"/>
        <v>1.0375101997812246</v>
      </c>
      <c r="CB126" s="649">
        <f t="shared" si="27"/>
        <v>0.41931610360905747</v>
      </c>
      <c r="CC126" s="525">
        <f t="shared" si="68"/>
        <v>0.39291745314364346</v>
      </c>
      <c r="CD126" s="417">
        <f t="shared" si="28"/>
        <v>0.41931610360905747</v>
      </c>
      <c r="CE126" s="525">
        <f t="shared" si="69"/>
        <v>0.39291745314364346</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1">
        <f>'Input data'!B147</f>
        <v>74.373096484110363</v>
      </c>
      <c r="C127" s="1550">
        <f>'Input data'!C147</f>
        <v>8179.7504647675678</v>
      </c>
      <c r="D127" s="1552">
        <f>'Input data'!D147</f>
        <v>836750.66224562365</v>
      </c>
      <c r="E127" s="1454">
        <f t="shared" si="29"/>
        <v>0.97407272727272687</v>
      </c>
      <c r="F127" s="1504">
        <f t="shared" si="30"/>
        <v>0.36019090909090901</v>
      </c>
      <c r="G127" s="1509">
        <f>B127*F127*'Input data'!$C$9</f>
        <v>819.91844738595455</v>
      </c>
      <c r="H127" s="1508">
        <f>'Input data'!I147</f>
        <v>424.26313389388866</v>
      </c>
      <c r="I127" s="1509">
        <f>'Input data'!K147</f>
        <v>31553.762991741216</v>
      </c>
      <c r="J127" s="1509">
        <f>J97*(1-$C$6)</f>
        <v>2228.8062963921584</v>
      </c>
      <c r="K127" s="1511">
        <f t="shared" si="78"/>
        <v>12434.809473169109</v>
      </c>
      <c r="L127" s="1504">
        <f t="shared" si="89"/>
        <v>0.57999999999999996</v>
      </c>
      <c r="M127" s="1504">
        <f t="shared" si="90"/>
        <v>0.437</v>
      </c>
      <c r="N127" s="1504">
        <f t="shared" si="91"/>
        <v>0.71200000000000008</v>
      </c>
      <c r="O127" s="1504">
        <f t="shared" si="92"/>
        <v>0.8</v>
      </c>
      <c r="P127" s="1504">
        <f t="shared" si="92"/>
        <v>0.23600000000000002</v>
      </c>
      <c r="Q127" s="1508">
        <f t="shared" si="36"/>
        <v>0</v>
      </c>
      <c r="R127" s="1509">
        <f t="shared" si="37"/>
        <v>0</v>
      </c>
      <c r="S127" s="1509">
        <f t="shared" si="38"/>
        <v>0</v>
      </c>
      <c r="T127" s="1509">
        <f t="shared" si="39"/>
        <v>0</v>
      </c>
      <c r="U127" s="1511">
        <f t="shared" si="40"/>
        <v>0</v>
      </c>
      <c r="V127" s="1509">
        <f t="shared" si="10"/>
        <v>0</v>
      </c>
      <c r="W127" s="1454">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77.101744505674077</v>
      </c>
      <c r="BW127" s="114">
        <f t="shared" si="65"/>
        <v>0.76110907084436663</v>
      </c>
      <c r="BX127" s="1686">
        <f t="shared" si="25"/>
        <v>0.83675066224562367</v>
      </c>
      <c r="BY127" s="527">
        <f t="shared" si="66"/>
        <v>77.101744505674077</v>
      </c>
      <c r="BZ127" s="417">
        <f t="shared" si="67"/>
        <v>0.76110907084436663</v>
      </c>
      <c r="CA127" s="544">
        <f t="shared" si="26"/>
        <v>0.83675066224562367</v>
      </c>
      <c r="CB127" s="649">
        <f t="shared" si="27"/>
        <v>0.4279500163115344</v>
      </c>
      <c r="CC127" s="525">
        <f t="shared" si="68"/>
        <v>0.40500974956932922</v>
      </c>
      <c r="CD127" s="417">
        <f t="shared" si="28"/>
        <v>0.4279500163115344</v>
      </c>
      <c r="CE127" s="525">
        <f t="shared" si="69"/>
        <v>0.40500974956932922</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1">
        <f>'Input data'!B148</f>
        <v>74.752759240528661</v>
      </c>
      <c r="C128" s="1550">
        <f>'Input data'!C148</f>
        <v>8346.3110427603078</v>
      </c>
      <c r="D128" s="1552">
        <f>'Input data'!D148</f>
        <v>635991.12471002259</v>
      </c>
      <c r="E128" s="1454">
        <f t="shared" si="29"/>
        <v>0.9827151515151511</v>
      </c>
      <c r="F128" s="1504">
        <f t="shared" si="30"/>
        <v>0.36254393939393931</v>
      </c>
      <c r="G128" s="1509">
        <f>B128*F128*'Input data'!$C$9</f>
        <v>829.4876495705023</v>
      </c>
      <c r="H128" s="1508">
        <f>'Input data'!I148</f>
        <v>424.26313389388866</v>
      </c>
      <c r="I128" s="1509">
        <f>'Input data'!K148</f>
        <v>31714.839902602034</v>
      </c>
      <c r="J128" s="1509">
        <f>J127</f>
        <v>2228.8062963921584</v>
      </c>
      <c r="K128" s="1511">
        <f t="shared" si="78"/>
        <v>12509.664885210746</v>
      </c>
      <c r="L128" s="1504">
        <f t="shared" si="89"/>
        <v>0.57999999999999996</v>
      </c>
      <c r="M128" s="1504">
        <f t="shared" si="90"/>
        <v>0.437</v>
      </c>
      <c r="N128" s="1504">
        <f t="shared" si="91"/>
        <v>0.71200000000000008</v>
      </c>
      <c r="O128" s="1504">
        <f t="shared" si="92"/>
        <v>0.8</v>
      </c>
      <c r="P128" s="1504">
        <f t="shared" si="92"/>
        <v>0.23600000000000002</v>
      </c>
      <c r="Q128" s="1508">
        <f t="shared" si="36"/>
        <v>0</v>
      </c>
      <c r="R128" s="1509">
        <f t="shared" si="37"/>
        <v>0</v>
      </c>
      <c r="S128" s="1509">
        <f t="shared" si="38"/>
        <v>0</v>
      </c>
      <c r="T128" s="1509">
        <f t="shared" si="39"/>
        <v>0</v>
      </c>
      <c r="U128" s="1511">
        <f t="shared" si="40"/>
        <v>0</v>
      </c>
      <c r="V128" s="1509">
        <f t="shared" si="10"/>
        <v>0</v>
      </c>
      <c r="W128" s="1454">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77.077682679973464</v>
      </c>
      <c r="BW128" s="114">
        <f t="shared" si="65"/>
        <v>0.77246632154831418</v>
      </c>
      <c r="BX128" s="1686">
        <f t="shared" si="25"/>
        <v>0.63599112471002262</v>
      </c>
      <c r="BY128" s="527">
        <f t="shared" si="66"/>
        <v>77.077682679973464</v>
      </c>
      <c r="BZ128" s="417">
        <f t="shared" si="67"/>
        <v>0.77246632154831418</v>
      </c>
      <c r="CA128" s="544">
        <f t="shared" si="26"/>
        <v>0.63599112471002262</v>
      </c>
      <c r="CB128" s="649">
        <f t="shared" si="27"/>
        <v>0.42949384463559215</v>
      </c>
      <c r="CC128" s="525">
        <f t="shared" si="68"/>
        <v>0.41629212341766397</v>
      </c>
      <c r="CD128" s="417">
        <f t="shared" si="28"/>
        <v>0.42949384463559215</v>
      </c>
      <c r="CE128" s="525">
        <f t="shared" si="69"/>
        <v>0.41629212341766397</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8507.9647859669603</v>
      </c>
      <c r="D129" s="237">
        <f>'Input data'!D149</f>
        <v>435231.58717442153</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77.076649278365963</v>
      </c>
      <c r="BW129" s="114">
        <f t="shared" si="65"/>
        <v>0.78327307076770258</v>
      </c>
      <c r="BX129" s="1686">
        <f t="shared" si="25"/>
        <v>0.43523158717442151</v>
      </c>
      <c r="BY129" s="527">
        <f t="shared" si="66"/>
        <v>77.076649278365963</v>
      </c>
      <c r="BZ129" s="417">
        <f t="shared" si="67"/>
        <v>0.78327307076770258</v>
      </c>
      <c r="CA129" s="544">
        <f t="shared" si="26"/>
        <v>0.43523158717442151</v>
      </c>
      <c r="CB129" s="649">
        <f t="shared" si="27"/>
        <v>0.43102944159952994</v>
      </c>
      <c r="CC129" s="525">
        <f t="shared" si="68"/>
        <v>0.42662818929028812</v>
      </c>
      <c r="CD129" s="417">
        <f t="shared" si="28"/>
        <v>0.43102944159952994</v>
      </c>
      <c r="CE129" s="525">
        <f t="shared" si="69"/>
        <v>0.42662818929028812</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8670.5902188603068</v>
      </c>
      <c r="D130" s="240">
        <f>'Input data'!D150</f>
        <v>234472.04963882058</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4">
        <f t="shared" si="14"/>
        <v>420.40251974508266</v>
      </c>
      <c r="AS130" s="1475">
        <f t="shared" si="15"/>
        <v>533.18412931103887</v>
      </c>
      <c r="AT130" s="1475">
        <f t="shared" si="16"/>
        <v>165.14067072009269</v>
      </c>
      <c r="AU130" s="1475">
        <f t="shared" si="17"/>
        <v>0</v>
      </c>
      <c r="AV130" s="1475">
        <f t="shared" si="18"/>
        <v>0</v>
      </c>
      <c r="AW130" s="1475">
        <f t="shared" si="19"/>
        <v>0</v>
      </c>
      <c r="AX130" s="1475">
        <f t="shared" si="20"/>
        <v>702.89448679035161</v>
      </c>
      <c r="AY130" s="1475">
        <f t="shared" si="21"/>
        <v>101.62251681416477</v>
      </c>
      <c r="AZ130" s="1475">
        <f t="shared" si="22"/>
        <v>147.70780361738585</v>
      </c>
      <c r="BA130" s="1475">
        <f t="shared" si="23"/>
        <v>129.84688482873898</v>
      </c>
      <c r="BB130" s="1475">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77.126177822987145</v>
      </c>
      <c r="BW130" s="651">
        <f t="shared" si="65"/>
        <v>0.79362716505353226</v>
      </c>
      <c r="BX130" s="1687">
        <f t="shared" si="25"/>
        <v>0.23447204963882057</v>
      </c>
      <c r="BY130" s="670">
        <f t="shared" si="66"/>
        <v>77.126177822987145</v>
      </c>
      <c r="BZ130" s="651">
        <f t="shared" si="67"/>
        <v>0.79362716505353226</v>
      </c>
      <c r="CA130" s="675">
        <f t="shared" si="26"/>
        <v>0.23447204963882057</v>
      </c>
      <c r="CB130" s="650">
        <f t="shared" si="27"/>
        <v>0.43255685448712144</v>
      </c>
      <c r="CC130" s="652">
        <f t="shared" si="68"/>
        <v>0.43620098748154501</v>
      </c>
      <c r="CD130" s="651">
        <f t="shared" si="28"/>
        <v>0.43255685448712144</v>
      </c>
      <c r="CE130" s="652">
        <f t="shared" si="69"/>
        <v>0.43620098748154501</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757</v>
      </c>
      <c r="N134" s="1808" t="s">
        <v>607</v>
      </c>
      <c r="O134" s="1809"/>
      <c r="P134" s="1895" t="s">
        <v>594</v>
      </c>
      <c r="Q134" s="1814" t="s">
        <v>765</v>
      </c>
      <c r="R134" s="1814" t="s">
        <v>768</v>
      </c>
      <c r="S134" s="1814" t="s">
        <v>767</v>
      </c>
      <c r="T134" s="1838" t="s">
        <v>769</v>
      </c>
      <c r="U134" s="1836" t="s">
        <v>770</v>
      </c>
      <c r="V134" s="1812" t="s">
        <v>760</v>
      </c>
      <c r="W134" s="1834" t="s">
        <v>761</v>
      </c>
      <c r="X134" s="1844" t="s">
        <v>592</v>
      </c>
      <c r="Y134" s="1845"/>
      <c r="Z134" s="1845"/>
      <c r="AA134" s="1845"/>
      <c r="AB134" s="1845"/>
      <c r="AC134" s="1845"/>
      <c r="AD134" s="1845"/>
      <c r="AE134" s="1846"/>
      <c r="AF134" s="1846"/>
      <c r="AG134" s="1846"/>
      <c r="AH134" s="1846"/>
      <c r="AI134" s="1846"/>
      <c r="AJ134" s="1847"/>
      <c r="AK134" s="1853" t="s">
        <v>728</v>
      </c>
      <c r="AL134" s="1854"/>
      <c r="AM134" s="1854"/>
      <c r="AN134" s="1854"/>
      <c r="AO134" s="1855"/>
    </row>
    <row r="135" spans="1:91" ht="58.9" customHeight="1">
      <c r="A135" s="1862" t="s">
        <v>217</v>
      </c>
      <c r="B135" s="703" t="s">
        <v>218</v>
      </c>
      <c r="C135" s="703" t="s">
        <v>390</v>
      </c>
      <c r="D135" s="513" t="s">
        <v>629</v>
      </c>
      <c r="E135" s="704" t="s">
        <v>779</v>
      </c>
      <c r="F135" s="704" t="s">
        <v>780</v>
      </c>
      <c r="G135" s="704" t="s">
        <v>764</v>
      </c>
      <c r="H135" s="704" t="s">
        <v>597</v>
      </c>
      <c r="I135" s="704" t="s">
        <v>626</v>
      </c>
      <c r="J135" s="1461" t="s">
        <v>326</v>
      </c>
      <c r="K135" s="1633" t="s">
        <v>758</v>
      </c>
      <c r="L135" s="706" t="s">
        <v>759</v>
      </c>
      <c r="M135" s="1826"/>
      <c r="N135" s="508" t="s">
        <v>605</v>
      </c>
      <c r="O135" s="511" t="s">
        <v>606</v>
      </c>
      <c r="P135" s="1896"/>
      <c r="Q135" s="1815"/>
      <c r="R135" s="1815"/>
      <c r="S135" s="1815"/>
      <c r="T135" s="1839"/>
      <c r="U135" s="1837"/>
      <c r="V135" s="1813"/>
      <c r="W135" s="1835"/>
      <c r="X135" s="1464" t="s">
        <v>473</v>
      </c>
      <c r="Y135" s="1465" t="s">
        <v>489</v>
      </c>
      <c r="Z135" s="1465" t="s">
        <v>808</v>
      </c>
      <c r="AA135" s="1465" t="s">
        <v>377</v>
      </c>
      <c r="AB135" s="1465" t="s">
        <v>477</v>
      </c>
      <c r="AC135" s="1465" t="s">
        <v>225</v>
      </c>
      <c r="AD135" s="713" t="s">
        <v>617</v>
      </c>
      <c r="AE135" s="1092" t="s">
        <v>473</v>
      </c>
      <c r="AF135" s="1463" t="s">
        <v>489</v>
      </c>
      <c r="AG135" s="1463" t="s">
        <v>376</v>
      </c>
      <c r="AH135" s="1463" t="s">
        <v>377</v>
      </c>
      <c r="AI135" s="1463" t="s">
        <v>477</v>
      </c>
      <c r="AJ135" s="718" t="s">
        <v>225</v>
      </c>
      <c r="AK135" s="1464" t="s">
        <v>724</v>
      </c>
      <c r="AL135" s="1465" t="s">
        <v>493</v>
      </c>
      <c r="AM135" s="1465" t="s">
        <v>725</v>
      </c>
      <c r="AN135" s="1465" t="s">
        <v>225</v>
      </c>
      <c r="AO135" s="713" t="s">
        <v>617</v>
      </c>
    </row>
    <row r="136" spans="1:91" ht="61.15" customHeight="1" thickBot="1">
      <c r="A136" s="1863"/>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1472" t="s">
        <v>229</v>
      </c>
      <c r="O136" s="1642" t="s">
        <v>228</v>
      </c>
      <c r="P136" s="1115" t="s">
        <v>228</v>
      </c>
      <c r="Q136" s="1116" t="s">
        <v>228</v>
      </c>
      <c r="R136" s="1116" t="s">
        <v>228</v>
      </c>
      <c r="S136" s="1117" t="s">
        <v>28</v>
      </c>
      <c r="T136" s="183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1176"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7">
        <f>D137/1000</f>
        <v>49995.050999999999</v>
      </c>
      <c r="J137" s="647">
        <f>H17</f>
        <v>6.154773859516615E-2</v>
      </c>
      <c r="K137" s="1501">
        <f>(I137)*J137-(I137)*$J$137</f>
        <v>0</v>
      </c>
      <c r="L137" s="1501">
        <f>(E137)*$C$12*$G$12-(E137)*$C$12*$G$12</f>
        <v>0</v>
      </c>
      <c r="M137" s="1501">
        <f>L137+K137</f>
        <v>0</v>
      </c>
      <c r="N137" s="1453">
        <v>0</v>
      </c>
      <c r="O137" s="1503">
        <f>N137*$E$137*($C$85)*$B$12</f>
        <v>0</v>
      </c>
      <c r="P137" s="1688">
        <f>O137+M137</f>
        <v>0</v>
      </c>
      <c r="Q137" s="1484">
        <f>E137*$B$12+(1-$J$137)*I137-P137</f>
        <v>68439.708347615408</v>
      </c>
      <c r="R137" s="1484">
        <f>Q137-G137</f>
        <v>0</v>
      </c>
      <c r="S137" s="1119">
        <f>R137/(Q137-I137*(1-J137))</f>
        <v>0</v>
      </c>
      <c r="T137" s="1489" t="str">
        <f>IF(AND(S137&gt;=0,S137&lt;=1),"Yes","No")</f>
        <v>Yes</v>
      </c>
      <c r="U137" s="1119">
        <f>IF(S137&lt;=0,0,IF(S137&gt;=1,1,S137))</f>
        <v>0</v>
      </c>
      <c r="V137" s="1493">
        <f t="shared" ref="V137:V170" si="97">AC137</f>
        <v>87501.974384615402</v>
      </c>
      <c r="W137" s="1490">
        <f t="shared" ref="W137:W170" si="98">(1-V137/F137)</f>
        <v>0</v>
      </c>
      <c r="X137" s="956">
        <f>(E137*$B$12-O137-L137)*(1-U137)+I137*(1-J137)</f>
        <v>68439.708347615408</v>
      </c>
      <c r="Y137" s="1501">
        <f>I137*J137+E137*$G$12*$C$12</f>
        <v>6080.5670370000007</v>
      </c>
      <c r="Z137" s="957">
        <f>($C$12*$H$12*E137+O137)</f>
        <v>1694.9190000000001</v>
      </c>
      <c r="AA137" s="957">
        <f>$F$137*$D$11</f>
        <v>0</v>
      </c>
      <c r="AB137" s="957">
        <f>E137*$E$12</f>
        <v>11286.78</v>
      </c>
      <c r="AC137" s="957">
        <f>SUM(X137:AB137)</f>
        <v>87501.974384615402</v>
      </c>
      <c r="AD137" s="1486">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7">
        <f>I137*(1-$J$137)-K137</f>
        <v>46917.968670000002</v>
      </c>
      <c r="AL137" s="1498">
        <f>(E137*$C$86*$B$12-L137)*(1-U137)</f>
        <v>20017.905677615392</v>
      </c>
      <c r="AM137" s="1498">
        <f>(E137*($C$85)*$B$12-O137)*(1-U137)</f>
        <v>1503.8340000000005</v>
      </c>
      <c r="AN137" s="1498">
        <f>SUM(AK137:AM137)</f>
        <v>68439.708347615393</v>
      </c>
      <c r="AO137" s="1563">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2">
        <f>(I138)*J138-(I138)*$J$137</f>
        <v>294.11545404289336</v>
      </c>
      <c r="L138" s="1512">
        <f t="shared" ref="L138:L170" si="101">(E138)*$C$12*$G$12-(E138)*$C$12*$G$12</f>
        <v>0</v>
      </c>
      <c r="M138" s="1509">
        <f>L138+K138</f>
        <v>294.11545404289336</v>
      </c>
      <c r="N138" s="1454">
        <f>($N$142-$N$137)/($A$102-$A$97)+N137</f>
        <v>0.05</v>
      </c>
      <c r="O138" s="1511">
        <f t="shared" ref="O138:O170" si="102">N138*$E$137*($C$85)*$B$12</f>
        <v>75.191700000000026</v>
      </c>
      <c r="P138" s="1689">
        <f>O138+M138</f>
        <v>369.30715404289339</v>
      </c>
      <c r="Q138" s="1364">
        <f t="shared" ref="Q138:Q170" si="103">E138*$B$12+(1-$J$137)*I138-P138</f>
        <v>68664.847653181423</v>
      </c>
      <c r="R138" s="1364">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4">
        <f t="shared" si="97"/>
        <v>84527.45688534659</v>
      </c>
      <c r="W138" s="1491">
        <f t="shared" si="98"/>
        <v>4.2790890844820795E-2</v>
      </c>
      <c r="X138" s="527">
        <f t="shared" ref="X138:X170" si="107">(E138*$B$12-O138-L138)*(1-U138)+I138*(1-J138)</f>
        <v>64886.148572305057</v>
      </c>
      <c r="Y138" s="1509">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7">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7">
        <f t="shared" ref="AK138:AK170" si="119">I138*(1-$J$137)-K138</f>
        <v>46966.146027228184</v>
      </c>
      <c r="AL138" s="1498">
        <f t="shared" ref="AL138:AL170" si="120">(E138*$C$86*$B$12-L138)*(1-U138)</f>
        <v>16725.598779901986</v>
      </c>
      <c r="AM138" s="1498">
        <f t="shared" ref="AM138:AM170" si="121">(E138*($C$85)*$B$12-O138)*(1-U138)</f>
        <v>1194.4037651748863</v>
      </c>
      <c r="AN138" s="1498">
        <f t="shared" ref="AN138:AN170" si="122">SUM(AK138:AM138)</f>
        <v>64886.148572305057</v>
      </c>
      <c r="AO138" s="1563">
        <f t="shared" ref="AO138:AO170" si="123">AN138-X138</f>
        <v>0</v>
      </c>
    </row>
    <row r="139" spans="1:91">
      <c r="A139" s="127">
        <f>'Input data'!A119</f>
        <v>2019</v>
      </c>
      <c r="B139" s="662">
        <f>'Input data'!B119</f>
        <v>58.364834921819444</v>
      </c>
      <c r="C139" s="236">
        <f>'Input data'!C119</f>
        <v>4436.7667702662829</v>
      </c>
      <c r="D139" s="236">
        <f>'Input data'!D119</f>
        <v>53495734.497914702</v>
      </c>
      <c r="E139" s="527">
        <f>'Input data'!J119*C139</f>
        <v>53378.943448602397</v>
      </c>
      <c r="F139" s="528">
        <f>'Input data'!L119</f>
        <v>106874.6779465171</v>
      </c>
      <c r="G139" s="528">
        <f t="shared" ref="G139:G149" si="124">$G$137*(1+((($G$150/$G$137)^(1/($A$150-$A$137)))-1))^(A139-$A$137)</f>
        <v>61517.098453473154</v>
      </c>
      <c r="H139" s="528">
        <f t="shared" ref="H139:H170" si="125">E139*$B$12+I139*$E$80-G139</f>
        <v>19315.312356586452</v>
      </c>
      <c r="I139" s="530">
        <f t="shared" si="99"/>
        <v>53495.734497914702</v>
      </c>
      <c r="J139" s="417">
        <f t="shared" si="100"/>
        <v>7.3782491286642105E-2</v>
      </c>
      <c r="K139" s="1512">
        <f t="shared" ref="K139:K170" si="126">(I139)*J139-(I139)*$J$137</f>
        <v>654.50708163084528</v>
      </c>
      <c r="L139" s="1512">
        <f t="shared" si="101"/>
        <v>0</v>
      </c>
      <c r="M139" s="1509">
        <f t="shared" ref="M139:M170" si="127">L139+K139</f>
        <v>654.50708163084528</v>
      </c>
      <c r="N139" s="1454">
        <f>($N$142-$N$137)/($A$102-$A$97)+N138</f>
        <v>0.1</v>
      </c>
      <c r="O139" s="1511">
        <f t="shared" si="102"/>
        <v>150.38340000000005</v>
      </c>
      <c r="P139" s="1689">
        <f>O139+M139</f>
        <v>804.89048163084533</v>
      </c>
      <c r="Q139" s="1364">
        <f t="shared" si="103"/>
        <v>80027.520328428756</v>
      </c>
      <c r="R139" s="1364">
        <f t="shared" ref="R139:R170" si="128">Q139-G139</f>
        <v>18510.421874955602</v>
      </c>
      <c r="S139" s="1091">
        <f t="shared" si="104"/>
        <v>0.60732053053856228</v>
      </c>
      <c r="T139" s="135" t="str">
        <f t="shared" si="105"/>
        <v>Yes</v>
      </c>
      <c r="U139" s="1091">
        <f t="shared" si="106"/>
        <v>0.60732053053856228</v>
      </c>
      <c r="V139" s="1494">
        <f>AC139</f>
        <v>88364.256071561496</v>
      </c>
      <c r="W139" s="1491">
        <f t="shared" si="98"/>
        <v>0.17319745173144474</v>
      </c>
      <c r="X139" s="527">
        <f t="shared" si="107"/>
        <v>61517.098453473154</v>
      </c>
      <c r="Y139" s="1509">
        <f t="shared" si="108"/>
        <v>8221.5351353750812</v>
      </c>
      <c r="Z139" s="528">
        <f t="shared" si="109"/>
        <v>2562.551002317176</v>
      </c>
      <c r="AA139" s="528">
        <f t="shared" si="110"/>
        <v>0</v>
      </c>
      <c r="AB139" s="528">
        <f t="shared" si="111"/>
        <v>16063.071480396085</v>
      </c>
      <c r="AC139" s="528">
        <f t="shared" si="112"/>
        <v>88364.256071561496</v>
      </c>
      <c r="AD139" s="1487">
        <f t="shared" si="113"/>
        <v>0</v>
      </c>
      <c r="AE139" s="417">
        <f t="shared" si="114"/>
        <v>0.69617627294517981</v>
      </c>
      <c r="AF139" s="417">
        <f t="shared" si="115"/>
        <v>9.3041411775332539E-2</v>
      </c>
      <c r="AG139" s="417">
        <f t="shared" si="116"/>
        <v>2.8999859402900452E-2</v>
      </c>
      <c r="AH139" s="417">
        <f t="shared" ref="AH139:AH170" si="129">AA139/AC139</f>
        <v>0</v>
      </c>
      <c r="AI139" s="417">
        <f t="shared" si="117"/>
        <v>0.18178245587658726</v>
      </c>
      <c r="AJ139" s="525">
        <f t="shared" si="118"/>
        <v>1</v>
      </c>
      <c r="AK139" s="1497">
        <f t="shared" si="119"/>
        <v>49548.685933449793</v>
      </c>
      <c r="AL139" s="1498">
        <f t="shared" si="120"/>
        <v>11187.044513699302</v>
      </c>
      <c r="AM139" s="1498">
        <f t="shared" si="121"/>
        <v>781.36800632405755</v>
      </c>
      <c r="AN139" s="1498">
        <f t="shared" si="122"/>
        <v>61517.098453473154</v>
      </c>
      <c r="AO139" s="1563">
        <f t="shared" si="123"/>
        <v>0</v>
      </c>
    </row>
    <row r="140" spans="1:91">
      <c r="A140" s="127">
        <f>'Input data'!A120</f>
        <v>2020</v>
      </c>
      <c r="B140" s="662">
        <f>'Input data'!B120</f>
        <v>59.308690000000006</v>
      </c>
      <c r="C140" s="236">
        <f>'Input data'!C120</f>
        <v>4156.6412676508144</v>
      </c>
      <c r="D140" s="236">
        <f>'Input data'!D120</f>
        <v>51132056.241912685</v>
      </c>
      <c r="E140" s="527">
        <f>'Input data'!J120*C140</f>
        <v>50008.740745401708</v>
      </c>
      <c r="F140" s="528">
        <f>'Input data'!L120</f>
        <v>101140.79698731439</v>
      </c>
      <c r="G140" s="528">
        <f t="shared" si="124"/>
        <v>58322.977791126912</v>
      </c>
      <c r="H140" s="528">
        <f t="shared" si="125"/>
        <v>18357.387508292384</v>
      </c>
      <c r="I140" s="530">
        <f t="shared" si="99"/>
        <v>51132.056241912687</v>
      </c>
      <c r="J140" s="417">
        <f t="shared" si="100"/>
        <v>8.0783733850016193E-2</v>
      </c>
      <c r="K140" s="1512">
        <f t="shared" si="126"/>
        <v>983.57599124015769</v>
      </c>
      <c r="L140" s="1512">
        <f t="shared" si="101"/>
        <v>0</v>
      </c>
      <c r="M140" s="1509">
        <f t="shared" si="127"/>
        <v>983.57599124015769</v>
      </c>
      <c r="N140" s="1454">
        <f>($N$142-$N$137)/($A$102-$A$97)+N139</f>
        <v>0.15000000000000002</v>
      </c>
      <c r="O140" s="1511">
        <f t="shared" si="102"/>
        <v>225.57510000000011</v>
      </c>
      <c r="P140" s="1689">
        <f t="shared" ref="P140:P170" si="130">O140+M140</f>
        <v>1209.1510912401577</v>
      </c>
      <c r="Q140" s="1364">
        <f t="shared" si="103"/>
        <v>75471.214208179139</v>
      </c>
      <c r="R140" s="1364">
        <f t="shared" si="128"/>
        <v>17148.236417052227</v>
      </c>
      <c r="S140" s="1091">
        <f t="shared" si="104"/>
        <v>0.60233084152747052</v>
      </c>
      <c r="T140" s="135" t="str">
        <f t="shared" si="105"/>
        <v>Yes</v>
      </c>
      <c r="U140" s="1091">
        <f t="shared" si="106"/>
        <v>0.60233084152747052</v>
      </c>
      <c r="V140" s="1494">
        <f t="shared" si="97"/>
        <v>83992.560570262169</v>
      </c>
      <c r="W140" s="1491">
        <f t="shared" si="98"/>
        <v>0.16954816382555338</v>
      </c>
      <c r="X140" s="527">
        <f t="shared" si="107"/>
        <v>58322.977791126912</v>
      </c>
      <c r="Y140" s="1509">
        <f t="shared" si="108"/>
        <v>8135.2454256007841</v>
      </c>
      <c r="Z140" s="528">
        <f t="shared" si="109"/>
        <v>2485.4449375303884</v>
      </c>
      <c r="AA140" s="528">
        <f t="shared" si="110"/>
        <v>0</v>
      </c>
      <c r="AB140" s="528">
        <f t="shared" si="111"/>
        <v>15048.892416004092</v>
      </c>
      <c r="AC140" s="528">
        <f t="shared" si="112"/>
        <v>83992.560570262169</v>
      </c>
      <c r="AD140" s="1487">
        <f t="shared" si="113"/>
        <v>0</v>
      </c>
      <c r="AE140" s="417">
        <f t="shared" si="114"/>
        <v>0.69438266193037512</v>
      </c>
      <c r="AF140" s="417">
        <f t="shared" si="115"/>
        <v>9.6856737910679835E-2</v>
      </c>
      <c r="AG140" s="417">
        <f t="shared" si="116"/>
        <v>2.9591250947174578E-2</v>
      </c>
      <c r="AH140" s="417">
        <f t="shared" si="129"/>
        <v>0</v>
      </c>
      <c r="AI140" s="417">
        <f t="shared" si="117"/>
        <v>0.17916934921177055</v>
      </c>
      <c r="AJ140" s="525">
        <f t="shared" si="118"/>
        <v>1.0000000000000002</v>
      </c>
      <c r="AK140" s="1497">
        <f t="shared" si="119"/>
        <v>47001.417819261958</v>
      </c>
      <c r="AL140" s="1498">
        <f t="shared" si="120"/>
        <v>10613.900850087755</v>
      </c>
      <c r="AM140" s="1498">
        <f t="shared" si="121"/>
        <v>707.65912177719633</v>
      </c>
      <c r="AN140" s="1498">
        <f t="shared" si="122"/>
        <v>58322.977791126905</v>
      </c>
      <c r="AO140" s="1563">
        <f t="shared" si="123"/>
        <v>0</v>
      </c>
    </row>
    <row r="141" spans="1:91">
      <c r="A141" s="127">
        <f>'Input data'!A121</f>
        <v>2021</v>
      </c>
      <c r="B141" s="662">
        <f>'Input data'!B121</f>
        <v>59.991580449204264</v>
      </c>
      <c r="C141" s="236">
        <f>'Input data'!C121</f>
        <v>4293.1482366506107</v>
      </c>
      <c r="D141" s="1550">
        <f>'Input data'!D121</f>
        <v>51275503.644747034</v>
      </c>
      <c r="E141" s="1508">
        <f>'Input data'!J121*C141</f>
        <v>51651.062317816235</v>
      </c>
      <c r="F141" s="1509">
        <f>'Input data'!L121</f>
        <v>102926.56596256327</v>
      </c>
      <c r="G141" s="1509">
        <f t="shared" si="124"/>
        <v>55294.7038130703</v>
      </c>
      <c r="H141" s="1509">
        <f t="shared" si="125"/>
        <v>22462.65583708472</v>
      </c>
      <c r="I141" s="1511">
        <f t="shared" si="99"/>
        <v>51275.503644747034</v>
      </c>
      <c r="J141" s="417">
        <f t="shared" si="100"/>
        <v>8.8449326404511766E-2</v>
      </c>
      <c r="K141" s="1512">
        <f t="shared" si="126"/>
        <v>1379.3924637675836</v>
      </c>
      <c r="L141" s="1512">
        <f t="shared" si="101"/>
        <v>0</v>
      </c>
      <c r="M141" s="1509">
        <f t="shared" si="127"/>
        <v>1379.3924637675836</v>
      </c>
      <c r="N141" s="1454">
        <f>($N$142-$N$137)/($A$102-$A$97)+N140</f>
        <v>0.2</v>
      </c>
      <c r="O141" s="1511">
        <f t="shared" si="102"/>
        <v>300.7668000000001</v>
      </c>
      <c r="P141" s="1689">
        <f t="shared" si="130"/>
        <v>1680.1592637675838</v>
      </c>
      <c r="Q141" s="1364">
        <f t="shared" si="103"/>
        <v>76077.200386387442</v>
      </c>
      <c r="R141" s="1364">
        <f t="shared" si="128"/>
        <v>20782.496573317141</v>
      </c>
      <c r="S141" s="1091">
        <f t="shared" si="104"/>
        <v>0.70840612152526361</v>
      </c>
      <c r="T141" s="135" t="str">
        <f t="shared" si="105"/>
        <v>Yes</v>
      </c>
      <c r="U141" s="1091">
        <f t="shared" si="106"/>
        <v>0.70840612152526361</v>
      </c>
      <c r="V141" s="1494">
        <f t="shared" si="97"/>
        <v>82144.069389246128</v>
      </c>
      <c r="W141" s="1491">
        <f t="shared" si="98"/>
        <v>0.20191576760538388</v>
      </c>
      <c r="X141" s="527">
        <f t="shared" si="107"/>
        <v>55294.7038130703</v>
      </c>
      <c r="Y141" s="1509">
        <f t="shared" si="108"/>
        <v>8671.4048201616661</v>
      </c>
      <c r="Z141" s="528">
        <f t="shared" si="109"/>
        <v>2634.8523232226207</v>
      </c>
      <c r="AA141" s="528">
        <f t="shared" si="110"/>
        <v>0</v>
      </c>
      <c r="AB141" s="528">
        <f t="shared" si="111"/>
        <v>15543.108432791545</v>
      </c>
      <c r="AC141" s="528">
        <f t="shared" si="112"/>
        <v>82144.069389246128</v>
      </c>
      <c r="AD141" s="1487">
        <f t="shared" si="113"/>
        <v>0</v>
      </c>
      <c r="AE141" s="417">
        <f t="shared" si="114"/>
        <v>0.6731429818877368</v>
      </c>
      <c r="AF141" s="417">
        <f t="shared" si="115"/>
        <v>0.10556337036422597</v>
      </c>
      <c r="AG141" s="417">
        <f t="shared" si="116"/>
        <v>3.2075989694851446E-2</v>
      </c>
      <c r="AH141" s="417">
        <f t="shared" si="129"/>
        <v>0</v>
      </c>
      <c r="AI141" s="417">
        <f t="shared" si="117"/>
        <v>0.18921765805318586</v>
      </c>
      <c r="AJ141" s="525">
        <f t="shared" si="118"/>
        <v>1.0000000000000002</v>
      </c>
      <c r="AK141" s="1497">
        <f t="shared" si="119"/>
        <v>46740.219886317071</v>
      </c>
      <c r="AL141" s="1498">
        <f t="shared" si="120"/>
        <v>8038.311979970953</v>
      </c>
      <c r="AM141" s="1498">
        <f t="shared" si="121"/>
        <v>516.17194678227759</v>
      </c>
      <c r="AN141" s="1498">
        <f t="shared" si="122"/>
        <v>55294.7038130703</v>
      </c>
      <c r="AO141" s="1563">
        <f t="shared" si="123"/>
        <v>0</v>
      </c>
    </row>
    <row r="142" spans="1:91">
      <c r="A142" s="873">
        <f>'Input data'!A122</f>
        <v>2022</v>
      </c>
      <c r="B142" s="1551">
        <f>'Input data'!B122</f>
        <v>60.682333816399378</v>
      </c>
      <c r="C142" s="1550">
        <f>'Input data'!C122</f>
        <v>4403.1093139322493</v>
      </c>
      <c r="D142" s="1550">
        <f>'Input data'!D122</f>
        <v>50359792.847133137</v>
      </c>
      <c r="E142" s="1508">
        <f>'Input data'!J122*C142</f>
        <v>52974.009055765164</v>
      </c>
      <c r="F142" s="1509">
        <f>'Input data'!L122</f>
        <v>103333.8019028983</v>
      </c>
      <c r="G142" s="1509">
        <f t="shared" si="124"/>
        <v>52423.665347216396</v>
      </c>
      <c r="H142" s="1509">
        <f t="shared" si="125"/>
        <v>25233.459691396267</v>
      </c>
      <c r="I142" s="1511">
        <f t="shared" si="99"/>
        <v>50359.79284713314</v>
      </c>
      <c r="J142" s="417">
        <f t="shared" si="100"/>
        <v>9.6842309318564565E-2</v>
      </c>
      <c r="K142" s="1512">
        <f t="shared" si="126"/>
        <v>1777.4272702588346</v>
      </c>
      <c r="L142" s="1512">
        <f t="shared" si="101"/>
        <v>0</v>
      </c>
      <c r="M142" s="1509">
        <f t="shared" si="127"/>
        <v>1777.4272702588346</v>
      </c>
      <c r="N142" s="1454">
        <f>$C$26</f>
        <v>0.25</v>
      </c>
      <c r="O142" s="1511">
        <f t="shared" si="102"/>
        <v>375.95850000000013</v>
      </c>
      <c r="P142" s="1689">
        <f t="shared" si="130"/>
        <v>2153.3857702588348</v>
      </c>
      <c r="Q142" s="1364">
        <f t="shared" si="103"/>
        <v>75503.739268353835</v>
      </c>
      <c r="R142" s="1364">
        <f t="shared" si="128"/>
        <v>23080.073921137438</v>
      </c>
      <c r="S142" s="1091">
        <f t="shared" si="104"/>
        <v>0.7688000703860598</v>
      </c>
      <c r="T142" s="135" t="str">
        <f t="shared" si="105"/>
        <v>Yes</v>
      </c>
      <c r="U142" s="1091">
        <f t="shared" si="106"/>
        <v>0.7688000703860598</v>
      </c>
      <c r="V142" s="1494">
        <f t="shared" si="97"/>
        <v>80253.727981760894</v>
      </c>
      <c r="W142" s="1491">
        <f t="shared" si="98"/>
        <v>0.22335454126448873</v>
      </c>
      <c r="X142" s="527">
        <f t="shared" si="107"/>
        <v>52423.665347216396</v>
      </c>
      <c r="Y142" s="1509">
        <f t="shared" si="108"/>
        <v>9119.0188135422432</v>
      </c>
      <c r="Z142" s="528">
        <f t="shared" si="109"/>
        <v>2769.8273208059522</v>
      </c>
      <c r="AA142" s="528">
        <f t="shared" si="110"/>
        <v>0</v>
      </c>
      <c r="AB142" s="528">
        <f t="shared" si="111"/>
        <v>15941.216500196295</v>
      </c>
      <c r="AC142" s="528">
        <f t="shared" si="112"/>
        <v>80253.727981760894</v>
      </c>
      <c r="AD142" s="1487">
        <f t="shared" si="113"/>
        <v>0</v>
      </c>
      <c r="AE142" s="417">
        <f t="shared" si="114"/>
        <v>0.65322405158711905</v>
      </c>
      <c r="AF142" s="417">
        <f t="shared" si="115"/>
        <v>0.11362735467708995</v>
      </c>
      <c r="AG142" s="417">
        <f t="shared" si="116"/>
        <v>3.451337888546991E-2</v>
      </c>
      <c r="AH142" s="417">
        <f t="shared" si="129"/>
        <v>0</v>
      </c>
      <c r="AI142" s="417">
        <f t="shared" si="117"/>
        <v>0.19863521485032101</v>
      </c>
      <c r="AJ142" s="525">
        <f t="shared" si="118"/>
        <v>0.99999999999999989</v>
      </c>
      <c r="AK142" s="1497">
        <f t="shared" si="119"/>
        <v>45482.834211012239</v>
      </c>
      <c r="AL142" s="1498">
        <f t="shared" si="120"/>
        <v>6536.6876972140863</v>
      </c>
      <c r="AM142" s="1498">
        <f t="shared" si="121"/>
        <v>404.14343899006838</v>
      </c>
      <c r="AN142" s="1498">
        <f t="shared" si="122"/>
        <v>52423.665347216396</v>
      </c>
      <c r="AO142" s="1563">
        <f t="shared" si="123"/>
        <v>0</v>
      </c>
    </row>
    <row r="143" spans="1:91">
      <c r="A143" s="873">
        <f>'Input data'!A123</f>
        <v>2023</v>
      </c>
      <c r="B143" s="1551">
        <f>'Input data'!B123</f>
        <v>61.381040636574369</v>
      </c>
      <c r="C143" s="1550">
        <f>'Input data'!C123</f>
        <v>4507.0199361395535</v>
      </c>
      <c r="D143" s="1550">
        <f>'Input data'!D123</f>
        <v>49986151.288104504</v>
      </c>
      <c r="E143" s="1508">
        <f>'Input data'!J123*C143</f>
        <v>54224.162492651791</v>
      </c>
      <c r="F143" s="1509">
        <f>'Input data'!L123</f>
        <v>104210.31378075629</v>
      </c>
      <c r="G143" s="1509">
        <f t="shared" si="124"/>
        <v>49701.698334937471</v>
      </c>
      <c r="H143" s="1509">
        <f t="shared" si="125"/>
        <v>28322.128880502256</v>
      </c>
      <c r="I143" s="1511">
        <f t="shared" si="99"/>
        <v>49986.151288104506</v>
      </c>
      <c r="J143" s="417">
        <f t="shared" si="100"/>
        <v>0.10603170487993842</v>
      </c>
      <c r="K143" s="1512">
        <f t="shared" si="126"/>
        <v>2223.5822686055667</v>
      </c>
      <c r="L143" s="1512">
        <f t="shared" si="101"/>
        <v>0</v>
      </c>
      <c r="M143" s="1509">
        <f t="shared" si="127"/>
        <v>2223.5822686055667</v>
      </c>
      <c r="N143" s="1454">
        <f>($N$147-$N$142)/($A$107-$A$102)+N142</f>
        <v>0.3</v>
      </c>
      <c r="O143" s="1511">
        <f t="shared" si="102"/>
        <v>451.15020000000015</v>
      </c>
      <c r="P143" s="1689">
        <f t="shared" si="130"/>
        <v>2674.7324686055667</v>
      </c>
      <c r="Q143" s="1364">
        <f t="shared" si="103"/>
        <v>75349.094746834162</v>
      </c>
      <c r="R143" s="1364">
        <f t="shared" si="128"/>
        <v>25647.396411896691</v>
      </c>
      <c r="S143" s="1091">
        <f t="shared" si="104"/>
        <v>0.83642650670893737</v>
      </c>
      <c r="T143" s="135" t="str">
        <f t="shared" si="105"/>
        <v>Yes</v>
      </c>
      <c r="U143" s="1091">
        <f t="shared" si="106"/>
        <v>0.83642650670893737</v>
      </c>
      <c r="V143" s="1494">
        <f t="shared" si="97"/>
        <v>78562.917368859606</v>
      </c>
      <c r="W143" s="1491">
        <f t="shared" si="98"/>
        <v>0.24611188164978726</v>
      </c>
      <c r="X143" s="527">
        <f t="shared" si="107"/>
        <v>49701.698334937471</v>
      </c>
      <c r="Y143" s="1509">
        <f t="shared" si="108"/>
        <v>9642.2869823339024</v>
      </c>
      <c r="Z143" s="528">
        <f t="shared" si="109"/>
        <v>2901.5128257327401</v>
      </c>
      <c r="AA143" s="528">
        <f t="shared" si="110"/>
        <v>0</v>
      </c>
      <c r="AB143" s="528">
        <f t="shared" si="111"/>
        <v>16317.419225855498</v>
      </c>
      <c r="AC143" s="528">
        <f t="shared" si="112"/>
        <v>78562.917368859606</v>
      </c>
      <c r="AD143" s="1487">
        <f t="shared" si="113"/>
        <v>0</v>
      </c>
      <c r="AE143" s="417">
        <f t="shared" si="114"/>
        <v>0.63263559958680959</v>
      </c>
      <c r="AF143" s="417">
        <f t="shared" si="115"/>
        <v>0.12273331115063538</v>
      </c>
      <c r="AG143" s="417">
        <f t="shared" si="116"/>
        <v>3.6932345728836538E-2</v>
      </c>
      <c r="AH143" s="417">
        <f t="shared" si="129"/>
        <v>0</v>
      </c>
      <c r="AI143" s="417">
        <f t="shared" si="117"/>
        <v>0.20769874353371859</v>
      </c>
      <c r="AJ143" s="525">
        <f t="shared" si="118"/>
        <v>1</v>
      </c>
      <c r="AK143" s="1497">
        <f t="shared" si="119"/>
        <v>44686.034446640253</v>
      </c>
      <c r="AL143" s="1498">
        <f t="shared" si="120"/>
        <v>4733.8335008298845</v>
      </c>
      <c r="AM143" s="1498">
        <f t="shared" si="121"/>
        <v>281.8303874673316</v>
      </c>
      <c r="AN143" s="1498">
        <f t="shared" si="122"/>
        <v>49701.698334937464</v>
      </c>
      <c r="AO143" s="1563">
        <f t="shared" si="123"/>
        <v>0</v>
      </c>
    </row>
    <row r="144" spans="1:91">
      <c r="A144" s="873">
        <f>'Input data'!A124</f>
        <v>2024</v>
      </c>
      <c r="B144" s="1551">
        <f>'Input data'!B124</f>
        <v>62.087792487153699</v>
      </c>
      <c r="C144" s="1550">
        <f>'Input data'!C124</f>
        <v>4624.8292728728675</v>
      </c>
      <c r="D144" s="1550">
        <f>'Input data'!D124</f>
        <v>51073828.378576256</v>
      </c>
      <c r="E144" s="1508">
        <f>'Input data'!J124*C144</f>
        <v>55641.531998154896</v>
      </c>
      <c r="F144" s="1509">
        <f>'Input data'!L124</f>
        <v>106715.36037673114</v>
      </c>
      <c r="G144" s="1509">
        <f t="shared" si="124"/>
        <v>47121.062615822855</v>
      </c>
      <c r="H144" s="1509">
        <f t="shared" si="125"/>
        <v>32736.794338407621</v>
      </c>
      <c r="I144" s="1511">
        <f t="shared" si="99"/>
        <v>51073.828378576254</v>
      </c>
      <c r="J144" s="417">
        <f t="shared" si="100"/>
        <v>0.11609308492183117</v>
      </c>
      <c r="K144" s="1512">
        <f t="shared" si="126"/>
        <v>2785.8396571380936</v>
      </c>
      <c r="L144" s="1512">
        <f t="shared" si="101"/>
        <v>0</v>
      </c>
      <c r="M144" s="1509">
        <f t="shared" si="127"/>
        <v>2785.8396571380936</v>
      </c>
      <c r="N144" s="1454">
        <f>($N$147-$N$142)/($A$107-$A$102)+N143</f>
        <v>0.35</v>
      </c>
      <c r="O144" s="1511">
        <f t="shared" si="102"/>
        <v>526.34190000000012</v>
      </c>
      <c r="P144" s="1689">
        <f t="shared" si="130"/>
        <v>3312.1815571380939</v>
      </c>
      <c r="Q144" s="1364">
        <f t="shared" si="103"/>
        <v>76545.675397092389</v>
      </c>
      <c r="R144" s="1364">
        <f t="shared" si="128"/>
        <v>29424.612781269534</v>
      </c>
      <c r="S144" s="1091">
        <f t="shared" si="104"/>
        <v>0.93705480313439238</v>
      </c>
      <c r="T144" s="135" t="str">
        <f t="shared" si="105"/>
        <v>Yes</v>
      </c>
      <c r="U144" s="1091">
        <f t="shared" si="106"/>
        <v>0.93705480313439238</v>
      </c>
      <c r="V144" s="1494">
        <f t="shared" si="97"/>
        <v>77290.747595461638</v>
      </c>
      <c r="W144" s="1491">
        <f t="shared" si="98"/>
        <v>0.27572987316346476</v>
      </c>
      <c r="X144" s="527">
        <f t="shared" si="107"/>
        <v>47121.062615822855</v>
      </c>
      <c r="Y144" s="1509">
        <f t="shared" si="108"/>
        <v>10384.988751509649</v>
      </c>
      <c r="Z144" s="528">
        <f t="shared" si="109"/>
        <v>3040.7547406827407</v>
      </c>
      <c r="AA144" s="528">
        <f t="shared" si="110"/>
        <v>0</v>
      </c>
      <c r="AB144" s="528">
        <f t="shared" si="111"/>
        <v>16743.941487446387</v>
      </c>
      <c r="AC144" s="528">
        <f t="shared" si="112"/>
        <v>77290.747595461638</v>
      </c>
      <c r="AD144" s="1487">
        <f t="shared" si="113"/>
        <v>0</v>
      </c>
      <c r="AE144" s="417">
        <f t="shared" si="114"/>
        <v>0.60965981157865923</v>
      </c>
      <c r="AF144" s="417">
        <f t="shared" si="115"/>
        <v>0.13436263814996965</v>
      </c>
      <c r="AG144" s="417">
        <f t="shared" si="116"/>
        <v>3.9341769038100077E-2</v>
      </c>
      <c r="AH144" s="417">
        <f t="shared" si="129"/>
        <v>0</v>
      </c>
      <c r="AI144" s="417">
        <f t="shared" si="117"/>
        <v>0.2166357812332709</v>
      </c>
      <c r="AJ144" s="525">
        <f t="shared" si="118"/>
        <v>0.99999999999999978</v>
      </c>
      <c r="AK144" s="1497">
        <f t="shared" si="119"/>
        <v>45144.51008333917</v>
      </c>
      <c r="AL144" s="1498">
        <f t="shared" si="120"/>
        <v>1869.2563836635527</v>
      </c>
      <c r="AM144" s="1498">
        <f t="shared" si="121"/>
        <v>107.29614882013229</v>
      </c>
      <c r="AN144" s="1498">
        <f t="shared" si="122"/>
        <v>47121.062615822855</v>
      </c>
      <c r="AO144" s="1563">
        <f t="shared" si="123"/>
        <v>0</v>
      </c>
    </row>
    <row r="145" spans="1:41">
      <c r="A145" s="873">
        <f>'Input data'!A125</f>
        <v>2025</v>
      </c>
      <c r="B145" s="1551">
        <f>'Input data'!B125</f>
        <v>62.802682000000026</v>
      </c>
      <c r="C145" s="1550">
        <f>'Input data'!C125</f>
        <v>4737.3047749260231</v>
      </c>
      <c r="D145" s="1550">
        <f>'Input data'!D125</f>
        <v>51201731.8667503</v>
      </c>
      <c r="E145" s="1508">
        <f>'Input data'!J125*C145</f>
        <v>56994.729895255135</v>
      </c>
      <c r="F145" s="1509">
        <f>'Input data'!L125</f>
        <v>108196.46176200543</v>
      </c>
      <c r="G145" s="1509">
        <f t="shared" si="124"/>
        <v>44674.419917829786</v>
      </c>
      <c r="H145" s="1509">
        <f t="shared" si="125"/>
        <v>36079.942941891801</v>
      </c>
      <c r="I145" s="1511">
        <f t="shared" si="99"/>
        <v>51201.731866750299</v>
      </c>
      <c r="J145" s="417">
        <f t="shared" si="100"/>
        <v>0.12710919231119061</v>
      </c>
      <c r="K145" s="1512">
        <f t="shared" si="126"/>
        <v>3356.8599739622446</v>
      </c>
      <c r="L145" s="1512">
        <f t="shared" si="101"/>
        <v>0</v>
      </c>
      <c r="M145" s="1509">
        <f t="shared" si="127"/>
        <v>3356.8599739622446</v>
      </c>
      <c r="N145" s="1454">
        <f>($N$147-$N$142)/($A$107-$A$102)+N144</f>
        <v>0.39999999999999997</v>
      </c>
      <c r="O145" s="1511">
        <f t="shared" si="102"/>
        <v>601.53360000000009</v>
      </c>
      <c r="P145" s="1689">
        <f t="shared" si="130"/>
        <v>3958.3935739622448</v>
      </c>
      <c r="Q145" s="1364">
        <f t="shared" si="103"/>
        <v>76795.969285759347</v>
      </c>
      <c r="R145" s="1364">
        <f t="shared" si="128"/>
        <v>32121.549367929561</v>
      </c>
      <c r="S145" s="1091">
        <f t="shared" si="104"/>
        <v>1.0005950065329541</v>
      </c>
      <c r="T145" s="135" t="str">
        <f t="shared" si="105"/>
        <v>No</v>
      </c>
      <c r="U145" s="1091">
        <f t="shared" si="106"/>
        <v>1</v>
      </c>
      <c r="V145" s="1494">
        <f t="shared" si="97"/>
        <v>76094.013560479623</v>
      </c>
      <c r="W145" s="1491">
        <f t="shared" si="98"/>
        <v>0.29670515725495739</v>
      </c>
      <c r="X145" s="527">
        <f t="shared" si="107"/>
        <v>44693.521084233515</v>
      </c>
      <c r="Y145" s="1509">
        <f t="shared" si="108"/>
        <v>11072.242811073149</v>
      </c>
      <c r="Z145" s="528">
        <f t="shared" si="109"/>
        <v>3177.0967729303602</v>
      </c>
      <c r="AA145" s="528">
        <f t="shared" si="110"/>
        <v>0</v>
      </c>
      <c r="AB145" s="528">
        <f t="shared" si="111"/>
        <v>17151.152892242597</v>
      </c>
      <c r="AC145" s="528">
        <f t="shared" si="112"/>
        <v>76094.013560479623</v>
      </c>
      <c r="AD145" s="1487">
        <f t="shared" si="113"/>
        <v>19.101166403728712</v>
      </c>
      <c r="AE145" s="417">
        <f t="shared" si="114"/>
        <v>0.58734608667620147</v>
      </c>
      <c r="AF145" s="417">
        <f t="shared" si="115"/>
        <v>0.14550740975534054</v>
      </c>
      <c r="AG145" s="417">
        <f t="shared" si="116"/>
        <v>4.1752256508394044E-2</v>
      </c>
      <c r="AH145" s="417">
        <f t="shared" si="129"/>
        <v>0</v>
      </c>
      <c r="AI145" s="417">
        <f t="shared" si="117"/>
        <v>0.22539424706006389</v>
      </c>
      <c r="AJ145" s="525">
        <f t="shared" si="118"/>
        <v>1</v>
      </c>
      <c r="AK145" s="1497">
        <f t="shared" si="119"/>
        <v>44693.521084233522</v>
      </c>
      <c r="AL145" s="1498">
        <f t="shared" si="120"/>
        <v>0</v>
      </c>
      <c r="AM145" s="1498">
        <f t="shared" si="121"/>
        <v>0</v>
      </c>
      <c r="AN145" s="1498">
        <f t="shared" si="122"/>
        <v>44693.521084233522</v>
      </c>
      <c r="AO145" s="1563">
        <f t="shared" si="123"/>
        <v>0</v>
      </c>
    </row>
    <row r="146" spans="1:41">
      <c r="A146" s="873">
        <f>'Input data'!A126</f>
        <v>2026</v>
      </c>
      <c r="B146" s="1551">
        <f>'Input data'!B126</f>
        <v>63.421065342005143</v>
      </c>
      <c r="C146" s="1550">
        <f>'Input data'!C126</f>
        <v>4839.0369685354799</v>
      </c>
      <c r="D146" s="1550">
        <f>'Input data'!D126</f>
        <v>50537069.53539668</v>
      </c>
      <c r="E146" s="1508">
        <f>'Input data'!J126*C146</f>
        <v>58218.674558286308</v>
      </c>
      <c r="F146" s="1509">
        <f>'Input data'!L126</f>
        <v>108755.744093683</v>
      </c>
      <c r="G146" s="1509">
        <f t="shared" si="124"/>
        <v>42354.812990240433</v>
      </c>
      <c r="H146" s="1509">
        <f t="shared" si="125"/>
        <v>38478.104163366166</v>
      </c>
      <c r="I146" s="1511">
        <f t="shared" si="99"/>
        <v>50537.06953539668</v>
      </c>
      <c r="J146" s="417">
        <f t="shared" si="100"/>
        <v>0.13917062141024203</v>
      </c>
      <c r="K146" s="1512">
        <f t="shared" si="126"/>
        <v>3922.8330263634375</v>
      </c>
      <c r="L146" s="1512">
        <f t="shared" si="101"/>
        <v>0</v>
      </c>
      <c r="M146" s="1509">
        <f t="shared" si="127"/>
        <v>3922.8330263634375</v>
      </c>
      <c r="N146" s="1454">
        <f>($N$147-$N$142)/($A$107-$A$102)+N145</f>
        <v>0.44999999999999996</v>
      </c>
      <c r="O146" s="1511">
        <f t="shared" si="102"/>
        <v>676.72530000000006</v>
      </c>
      <c r="P146" s="1689">
        <f t="shared" si="130"/>
        <v>4599.558326363438</v>
      </c>
      <c r="Q146" s="1364">
        <f t="shared" si="103"/>
        <v>76233.358827243166</v>
      </c>
      <c r="R146" s="1364">
        <f t="shared" si="128"/>
        <v>33878.545837002734</v>
      </c>
      <c r="S146" s="1091">
        <f t="shared" si="104"/>
        <v>1.0351052996115597</v>
      </c>
      <c r="T146" s="135" t="str">
        <f t="shared" si="105"/>
        <v>No</v>
      </c>
      <c r="U146" s="1091">
        <f t="shared" si="106"/>
        <v>1</v>
      </c>
      <c r="V146" s="1494">
        <f t="shared" si="97"/>
        <v>76026.179430342745</v>
      </c>
      <c r="W146" s="1491">
        <f t="shared" si="98"/>
        <v>0.30094561842312217</v>
      </c>
      <c r="X146" s="527">
        <f t="shared" si="107"/>
        <v>43503.794163902909</v>
      </c>
      <c r="Y146" s="1509">
        <f t="shared" si="108"/>
        <v>11695.318613604813</v>
      </c>
      <c r="Z146" s="528">
        <f t="shared" si="109"/>
        <v>3307.5979165508688</v>
      </c>
      <c r="AA146" s="528">
        <f t="shared" si="110"/>
        <v>0</v>
      </c>
      <c r="AB146" s="528">
        <f t="shared" si="111"/>
        <v>17519.468736284161</v>
      </c>
      <c r="AC146" s="528">
        <f t="shared" si="112"/>
        <v>76026.179430342745</v>
      </c>
      <c r="AD146" s="1487">
        <f t="shared" si="113"/>
        <v>1148.9811736624761</v>
      </c>
      <c r="AE146" s="417">
        <f t="shared" si="114"/>
        <v>0.57222123339450814</v>
      </c>
      <c r="AF146" s="417">
        <f t="shared" si="115"/>
        <v>0.15383278103985723</v>
      </c>
      <c r="AG146" s="417">
        <f t="shared" si="116"/>
        <v>4.3506038858382723E-2</v>
      </c>
      <c r="AH146" s="417">
        <f t="shared" si="129"/>
        <v>0</v>
      </c>
      <c r="AI146" s="417">
        <f t="shared" si="117"/>
        <v>0.23043994670725201</v>
      </c>
      <c r="AJ146" s="525">
        <f t="shared" si="118"/>
        <v>1</v>
      </c>
      <c r="AK146" s="1497">
        <f t="shared" si="119"/>
        <v>43503.794163902916</v>
      </c>
      <c r="AL146" s="1498">
        <f t="shared" si="120"/>
        <v>0</v>
      </c>
      <c r="AM146" s="1498">
        <f t="shared" si="121"/>
        <v>0</v>
      </c>
      <c r="AN146" s="1498">
        <f t="shared" si="122"/>
        <v>43503.794163902916</v>
      </c>
      <c r="AO146" s="1563">
        <f t="shared" si="123"/>
        <v>0</v>
      </c>
    </row>
    <row r="147" spans="1:41">
      <c r="A147" s="873">
        <f>'Input data'!A127</f>
        <v>2027</v>
      </c>
      <c r="B147" s="1551">
        <f>'Input data'!B127</f>
        <v>64.045537563425796</v>
      </c>
      <c r="C147" s="1550">
        <f>'Input data'!C127</f>
        <v>4937.5264455117067</v>
      </c>
      <c r="D147" s="1550">
        <f>'Input data'!D127</f>
        <v>49329037.288601168</v>
      </c>
      <c r="E147" s="1508">
        <f>'Input data'!J127*C147</f>
        <v>59403.605949548262</v>
      </c>
      <c r="F147" s="1509">
        <f>'Input data'!L127</f>
        <v>108732.64323814944</v>
      </c>
      <c r="G147" s="1509">
        <f t="shared" si="124"/>
        <v>40155.6458200876</v>
      </c>
      <c r="H147" s="1509">
        <f t="shared" si="125"/>
        <v>40223.512808372681</v>
      </c>
      <c r="I147" s="1511">
        <f t="shared" si="99"/>
        <v>49329.037288601168</v>
      </c>
      <c r="J147" s="417">
        <f t="shared" si="100"/>
        <v>0.15237656310721223</v>
      </c>
      <c r="K147" s="1512">
        <f t="shared" si="126"/>
        <v>4480.4984712345322</v>
      </c>
      <c r="L147" s="1512">
        <f t="shared" si="101"/>
        <v>0</v>
      </c>
      <c r="M147" s="1509">
        <f t="shared" si="127"/>
        <v>4480.4984712345322</v>
      </c>
      <c r="N147" s="1454">
        <f>$C$27</f>
        <v>0.5</v>
      </c>
      <c r="O147" s="1511">
        <f t="shared" si="102"/>
        <v>751.91700000000026</v>
      </c>
      <c r="P147" s="1689">
        <f t="shared" si="130"/>
        <v>5232.4154712345326</v>
      </c>
      <c r="Q147" s="1364">
        <f t="shared" si="103"/>
        <v>75146.743157225748</v>
      </c>
      <c r="R147" s="1364">
        <f t="shared" si="128"/>
        <v>34991.097337138148</v>
      </c>
      <c r="S147" s="1091">
        <f t="shared" si="104"/>
        <v>1.0497026351838572</v>
      </c>
      <c r="T147" s="135" t="str">
        <f t="shared" si="105"/>
        <v>No</v>
      </c>
      <c r="U147" s="1091">
        <f t="shared" si="106"/>
        <v>1</v>
      </c>
      <c r="V147" s="1494">
        <f t="shared" si="97"/>
        <v>75398.348206100287</v>
      </c>
      <c r="W147" s="1491">
        <f t="shared" si="98"/>
        <v>0.3065711826671903</v>
      </c>
      <c r="X147" s="527">
        <f t="shared" si="107"/>
        <v>41812.448125176605</v>
      </c>
      <c r="Y147" s="1509">
        <f t="shared" si="108"/>
        <v>12273.519508804635</v>
      </c>
      <c r="Z147" s="528">
        <f t="shared" si="109"/>
        <v>3436.3360700456424</v>
      </c>
      <c r="AA147" s="528">
        <f t="shared" si="110"/>
        <v>0</v>
      </c>
      <c r="AB147" s="528">
        <f t="shared" si="111"/>
        <v>17876.044502073404</v>
      </c>
      <c r="AC147" s="528">
        <f t="shared" si="112"/>
        <v>75398.348206100287</v>
      </c>
      <c r="AD147" s="1487">
        <f t="shared" si="113"/>
        <v>1656.8023050890042</v>
      </c>
      <c r="AE147" s="417">
        <f t="shared" si="114"/>
        <v>0.55455390098046831</v>
      </c>
      <c r="AF147" s="417">
        <f t="shared" si="115"/>
        <v>0.16278233941219969</v>
      </c>
      <c r="AG147" s="417">
        <f t="shared" si="116"/>
        <v>4.5575747371182029E-2</v>
      </c>
      <c r="AH147" s="417">
        <f t="shared" si="129"/>
        <v>0</v>
      </c>
      <c r="AI147" s="417">
        <f t="shared" si="117"/>
        <v>0.23708801223615</v>
      </c>
      <c r="AJ147" s="525">
        <f t="shared" si="118"/>
        <v>1</v>
      </c>
      <c r="AK147" s="1497">
        <f t="shared" si="119"/>
        <v>41812.448125176605</v>
      </c>
      <c r="AL147" s="1498">
        <f t="shared" si="120"/>
        <v>0</v>
      </c>
      <c r="AM147" s="1498">
        <f t="shared" si="121"/>
        <v>0</v>
      </c>
      <c r="AN147" s="1498">
        <f t="shared" si="122"/>
        <v>41812.448125176605</v>
      </c>
      <c r="AO147" s="1563">
        <f t="shared" si="123"/>
        <v>0</v>
      </c>
    </row>
    <row r="148" spans="1:41">
      <c r="A148" s="873">
        <f>'Input data'!A128</f>
        <v>2028</v>
      </c>
      <c r="B148" s="1551">
        <f>'Input data'!B128</f>
        <v>64.676158618096451</v>
      </c>
      <c r="C148" s="1550">
        <f>'Input data'!C128</f>
        <v>5030.8888370380655</v>
      </c>
      <c r="D148" s="1550">
        <f>'Input data'!D128</f>
        <v>48528826.860263921</v>
      </c>
      <c r="E148" s="1508">
        <f>'Input data'!J128*C148</f>
        <v>60526.853141830288</v>
      </c>
      <c r="F148" s="1509">
        <f>'Input data'!L128</f>
        <v>109055.68000209422</v>
      </c>
      <c r="G148" s="1509">
        <f t="shared" si="124"/>
        <v>38070.664875792791</v>
      </c>
      <c r="H148" s="1509">
        <f t="shared" si="125"/>
        <v>42202.06170275349</v>
      </c>
      <c r="I148" s="1511">
        <f t="shared" si="99"/>
        <v>48528.826860263922</v>
      </c>
      <c r="J148" s="417">
        <f t="shared" si="100"/>
        <v>0.16683562054324133</v>
      </c>
      <c r="K148" s="1512">
        <f t="shared" si="126"/>
        <v>5109.4973935420476</v>
      </c>
      <c r="L148" s="1512">
        <f t="shared" si="101"/>
        <v>0</v>
      </c>
      <c r="M148" s="1509">
        <f t="shared" si="127"/>
        <v>5109.4973935420476</v>
      </c>
      <c r="N148" s="1454">
        <f>N147</f>
        <v>0.5</v>
      </c>
      <c r="O148" s="1511">
        <f t="shared" si="102"/>
        <v>751.91700000000026</v>
      </c>
      <c r="P148" s="1689">
        <f t="shared" si="130"/>
        <v>5861.4143935420479</v>
      </c>
      <c r="Q148" s="1364">
        <f t="shared" si="103"/>
        <v>74411.312185004237</v>
      </c>
      <c r="R148" s="1364">
        <f t="shared" si="128"/>
        <v>36340.647309211447</v>
      </c>
      <c r="S148" s="1091">
        <f t="shared" si="104"/>
        <v>1.0695087376001642</v>
      </c>
      <c r="T148" s="135" t="str">
        <f t="shared" si="105"/>
        <v>No</v>
      </c>
      <c r="U148" s="1091">
        <f t="shared" si="106"/>
        <v>1</v>
      </c>
      <c r="V148" s="1494">
        <f t="shared" si="97"/>
        <v>75076.857733886267</v>
      </c>
      <c r="W148" s="1491">
        <f t="shared" si="98"/>
        <v>0.31157315481005166</v>
      </c>
      <c r="X148" s="527">
        <f t="shared" si="107"/>
        <v>40432.489916796272</v>
      </c>
      <c r="Y148" s="1509">
        <f t="shared" si="108"/>
        <v>12943.214836120649</v>
      </c>
      <c r="Z148" s="528">
        <f t="shared" si="109"/>
        <v>3487.0950456185724</v>
      </c>
      <c r="AA148" s="528">
        <f t="shared" si="110"/>
        <v>0</v>
      </c>
      <c r="AB148" s="528">
        <f t="shared" si="111"/>
        <v>18214.057935350767</v>
      </c>
      <c r="AC148" s="528">
        <f t="shared" si="112"/>
        <v>75076.857733886267</v>
      </c>
      <c r="AD148" s="1487">
        <f t="shared" si="113"/>
        <v>2361.8250410034816</v>
      </c>
      <c r="AE148" s="1504">
        <f t="shared" si="114"/>
        <v>0.53854797786171715</v>
      </c>
      <c r="AF148" s="1504">
        <f t="shared" si="115"/>
        <v>0.17239952798768604</v>
      </c>
      <c r="AG148" s="1504">
        <f t="shared" si="116"/>
        <v>4.6447003122836568E-2</v>
      </c>
      <c r="AH148" s="1504">
        <f t="shared" si="129"/>
        <v>0</v>
      </c>
      <c r="AI148" s="1504">
        <f t="shared" si="117"/>
        <v>0.24260549102776011</v>
      </c>
      <c r="AJ148" s="1541">
        <f t="shared" si="118"/>
        <v>0.99999999999999989</v>
      </c>
      <c r="AK148" s="1555">
        <f t="shared" si="119"/>
        <v>40432.489916796272</v>
      </c>
      <c r="AL148" s="1498">
        <f t="shared" si="120"/>
        <v>0</v>
      </c>
      <c r="AM148" s="1498">
        <f t="shared" si="121"/>
        <v>0</v>
      </c>
      <c r="AN148" s="1498">
        <f t="shared" si="122"/>
        <v>40432.489916796272</v>
      </c>
      <c r="AO148" s="1563">
        <f t="shared" si="123"/>
        <v>0</v>
      </c>
    </row>
    <row r="149" spans="1:41">
      <c r="A149" s="873">
        <f>'Input data'!A129</f>
        <v>2029</v>
      </c>
      <c r="B149" s="1551">
        <f>'Input data'!B129</f>
        <v>65.31298905018393</v>
      </c>
      <c r="C149" s="1550">
        <f>'Input data'!C129</f>
        <v>5147.1070268118992</v>
      </c>
      <c r="D149" s="1550">
        <f>'Input data'!D129</f>
        <v>46965110.037548423</v>
      </c>
      <c r="E149" s="1508">
        <f>'Input data'!J129*C149</f>
        <v>61925.079485664915</v>
      </c>
      <c r="F149" s="1509">
        <f>'Input data'!L129</f>
        <v>108890.18952321334</v>
      </c>
      <c r="G149" s="1509">
        <f t="shared" si="124"/>
        <v>36093.941324681233</v>
      </c>
      <c r="H149" s="1509">
        <f t="shared" si="125"/>
        <v>43513.623896490506</v>
      </c>
      <c r="I149" s="1511">
        <f t="shared" si="99"/>
        <v>46965.110037548424</v>
      </c>
      <c r="J149" s="1504">
        <f>$J$137*(1+((($J$150/$J$137)^(1/($A$150-$A$137)))-1))^(A149-$A$137)</f>
        <v>0.18266670224386344</v>
      </c>
      <c r="K149" s="1512">
        <f t="shared" si="126"/>
        <v>5688.3654553948963</v>
      </c>
      <c r="L149" s="1512">
        <f t="shared" si="101"/>
        <v>0</v>
      </c>
      <c r="M149" s="1509">
        <f t="shared" si="127"/>
        <v>5688.3654553948963</v>
      </c>
      <c r="N149" s="1454">
        <f t="shared" ref="N149:N170" si="131">N148</f>
        <v>0.5</v>
      </c>
      <c r="O149" s="1511">
        <f t="shared" si="102"/>
        <v>751.91700000000026</v>
      </c>
      <c r="P149" s="1689">
        <f t="shared" si="130"/>
        <v>6440.2824553948967</v>
      </c>
      <c r="Q149" s="1364">
        <f t="shared" si="103"/>
        <v>73167.282765776836</v>
      </c>
      <c r="R149" s="1364">
        <f t="shared" si="128"/>
        <v>37073.341441095603</v>
      </c>
      <c r="S149" s="1091">
        <f t="shared" si="104"/>
        <v>1.0659037427842868</v>
      </c>
      <c r="T149" s="135" t="str">
        <f t="shared" si="105"/>
        <v>No</v>
      </c>
      <c r="U149" s="1091">
        <f t="shared" si="106"/>
        <v>1</v>
      </c>
      <c r="V149" s="1494">
        <f t="shared" si="97"/>
        <v>74109.055023905777</v>
      </c>
      <c r="W149" s="1491">
        <f t="shared" si="98"/>
        <v>0.31941476685457393</v>
      </c>
      <c r="X149" s="527">
        <f t="shared" si="107"/>
        <v>38386.148266469281</v>
      </c>
      <c r="Y149" s="1509">
        <f t="shared" si="108"/>
        <v>13537.807030331835</v>
      </c>
      <c r="Z149" s="528">
        <f t="shared" si="109"/>
        <v>3550.2801907226872</v>
      </c>
      <c r="AA149" s="528">
        <f t="shared" si="110"/>
        <v>0</v>
      </c>
      <c r="AB149" s="528">
        <f t="shared" si="111"/>
        <v>18634.81953638198</v>
      </c>
      <c r="AC149" s="528">
        <f t="shared" si="112"/>
        <v>74109.055023905777</v>
      </c>
      <c r="AD149" s="1487">
        <f t="shared" si="113"/>
        <v>2292.2069417880484</v>
      </c>
      <c r="AE149" s="1504">
        <f t="shared" si="114"/>
        <v>0.51796839474051914</v>
      </c>
      <c r="AF149" s="1504">
        <f t="shared" si="115"/>
        <v>0.18267412836346203</v>
      </c>
      <c r="AG149" s="1504">
        <f t="shared" si="116"/>
        <v>4.7906159234893136E-2</v>
      </c>
      <c r="AH149" s="1504">
        <f t="shared" si="129"/>
        <v>0</v>
      </c>
      <c r="AI149" s="1504">
        <f t="shared" si="117"/>
        <v>0.25145131766112577</v>
      </c>
      <c r="AJ149" s="1541">
        <f t="shared" si="118"/>
        <v>1.0000000000000002</v>
      </c>
      <c r="AK149" s="1555">
        <f t="shared" si="119"/>
        <v>38386.148266469281</v>
      </c>
      <c r="AL149" s="1498">
        <f t="shared" si="120"/>
        <v>0</v>
      </c>
      <c r="AM149" s="1498">
        <f t="shared" si="121"/>
        <v>0</v>
      </c>
      <c r="AN149" s="1498">
        <f t="shared" si="122"/>
        <v>38386.148266469281</v>
      </c>
      <c r="AO149" s="1563">
        <f t="shared" si="123"/>
        <v>0</v>
      </c>
    </row>
    <row r="150" spans="1:41" s="1151" customFormat="1">
      <c r="A150" s="1565">
        <f>'Input data'!A130</f>
        <v>2030</v>
      </c>
      <c r="B150" s="1551">
        <f>'Input data'!B130</f>
        <v>65.956090000000003</v>
      </c>
      <c r="C150" s="1550">
        <f>'Input data'!C130</f>
        <v>5262.1824199605107</v>
      </c>
      <c r="D150" s="1550">
        <f>'Input data'!D130</f>
        <v>45521353.842330128</v>
      </c>
      <c r="E150" s="1508">
        <f>'Input data'!J130*C150</f>
        <v>63309.556791159332</v>
      </c>
      <c r="F150" s="1509">
        <f>'Input data'!L130</f>
        <v>108830.91063348946</v>
      </c>
      <c r="G150" s="1509">
        <f>G137*(1-$C$4)</f>
        <v>34219.854173807704</v>
      </c>
      <c r="H150" s="1509">
        <f t="shared" si="125"/>
        <v>44827.237716054617</v>
      </c>
      <c r="I150" s="1511">
        <f t="shared" si="99"/>
        <v>45521.353842330129</v>
      </c>
      <c r="J150" s="1504">
        <v>0.2</v>
      </c>
      <c r="K150" s="1512">
        <f t="shared" si="126"/>
        <v>6302.5343816802288</v>
      </c>
      <c r="L150" s="1512">
        <f t="shared" si="101"/>
        <v>0</v>
      </c>
      <c r="M150" s="1509">
        <f t="shared" si="127"/>
        <v>6302.5343816802288</v>
      </c>
      <c r="N150" s="1454">
        <f t="shared" si="131"/>
        <v>0.5</v>
      </c>
      <c r="O150" s="1511">
        <f t="shared" si="102"/>
        <v>751.91700000000026</v>
      </c>
      <c r="P150" s="1689">
        <f t="shared" si="130"/>
        <v>7054.4513816802291</v>
      </c>
      <c r="Q150" s="1364">
        <f t="shared" si="103"/>
        <v>71992.640508182085</v>
      </c>
      <c r="R150" s="1364">
        <f t="shared" si="128"/>
        <v>37772.786334374381</v>
      </c>
      <c r="S150" s="1091">
        <f t="shared" si="104"/>
        <v>1.0617623182465397</v>
      </c>
      <c r="T150" s="135" t="str">
        <f t="shared" si="105"/>
        <v>No</v>
      </c>
      <c r="U150" s="1091">
        <f t="shared" si="106"/>
        <v>1</v>
      </c>
      <c r="V150" s="1494">
        <f t="shared" si="97"/>
        <v>73255.353199171484</v>
      </c>
      <c r="W150" s="1491">
        <f t="shared" si="98"/>
        <v>0.3268883557735357</v>
      </c>
      <c r="X150" s="527">
        <f t="shared" si="107"/>
        <v>36417.083073864102</v>
      </c>
      <c r="Y150" s="1509">
        <f t="shared" si="108"/>
        <v>14173.982396884756</v>
      </c>
      <c r="Z150" s="528">
        <f t="shared" si="109"/>
        <v>3612.8440237006225</v>
      </c>
      <c r="AA150" s="528">
        <f t="shared" si="110"/>
        <v>0</v>
      </c>
      <c r="AB150" s="528">
        <f t="shared" si="111"/>
        <v>19051.443704722002</v>
      </c>
      <c r="AC150" s="528">
        <f t="shared" si="112"/>
        <v>73255.353199171484</v>
      </c>
      <c r="AD150" s="1487">
        <f t="shared" si="113"/>
        <v>2197.2289000563978</v>
      </c>
      <c r="AE150" s="1504">
        <f t="shared" si="114"/>
        <v>0.4971252131547429</v>
      </c>
      <c r="AF150" s="1504">
        <f t="shared" si="115"/>
        <v>0.19348732587975651</v>
      </c>
      <c r="AG150" s="1504">
        <f t="shared" si="116"/>
        <v>4.9318498456730989E-2</v>
      </c>
      <c r="AH150" s="1504">
        <f t="shared" si="129"/>
        <v>0</v>
      </c>
      <c r="AI150" s="1504">
        <f t="shared" si="117"/>
        <v>0.2600689625087696</v>
      </c>
      <c r="AJ150" s="1541">
        <f t="shared" si="118"/>
        <v>1</v>
      </c>
      <c r="AK150" s="1555">
        <f t="shared" si="119"/>
        <v>36417.083073864102</v>
      </c>
      <c r="AL150" s="1498">
        <f t="shared" si="120"/>
        <v>0</v>
      </c>
      <c r="AM150" s="1498">
        <f t="shared" si="121"/>
        <v>0</v>
      </c>
      <c r="AN150" s="1498">
        <f t="shared" si="122"/>
        <v>36417.083073864102</v>
      </c>
      <c r="AO150" s="1563">
        <f t="shared" si="123"/>
        <v>0</v>
      </c>
    </row>
    <row r="151" spans="1:41">
      <c r="A151" s="873">
        <f>'Input data'!A131</f>
        <v>2031</v>
      </c>
      <c r="B151" s="1551">
        <f>'Input data'!B131</f>
        <v>66.518977190687664</v>
      </c>
      <c r="C151" s="1550">
        <f>'Input data'!C131</f>
        <v>5387.7672265735409</v>
      </c>
      <c r="D151" s="1550">
        <f>'Input data'!D131</f>
        <v>44085520.531554446</v>
      </c>
      <c r="E151" s="1508">
        <f>'Input data'!J131*C151</f>
        <v>64820.473329555214</v>
      </c>
      <c r="F151" s="1509">
        <f>'Input data'!L131</f>
        <v>108905.99386110966</v>
      </c>
      <c r="G151" s="1509">
        <f>$G$150*(1+((($G$160/$G$150)^(1/($A$160-$A$150)))-1))^(A151-$A$150)</f>
        <v>33020.827958397946</v>
      </c>
      <c r="H151" s="1509">
        <f t="shared" si="125"/>
        <v>45545.777581030212</v>
      </c>
      <c r="I151" s="1511">
        <f t="shared" si="99"/>
        <v>44085.520531554444</v>
      </c>
      <c r="J151" s="1504">
        <f t="shared" ref="J151:J170" si="132">J150</f>
        <v>0.2</v>
      </c>
      <c r="K151" s="1512">
        <f t="shared" si="126"/>
        <v>6103.7400128029458</v>
      </c>
      <c r="L151" s="1512">
        <f t="shared" si="101"/>
        <v>0</v>
      </c>
      <c r="M151" s="1509">
        <f t="shared" si="127"/>
        <v>6103.7400128029458</v>
      </c>
      <c r="N151" s="1454">
        <f t="shared" si="131"/>
        <v>0.5</v>
      </c>
      <c r="O151" s="1511">
        <f t="shared" si="102"/>
        <v>751.91700000000026</v>
      </c>
      <c r="P151" s="1689">
        <f t="shared" si="130"/>
        <v>6855.6570128029462</v>
      </c>
      <c r="Q151" s="1364">
        <f t="shared" si="103"/>
        <v>71710.948526625216</v>
      </c>
      <c r="R151" s="1364">
        <f t="shared" si="128"/>
        <v>38690.12056822727</v>
      </c>
      <c r="S151" s="1091">
        <f t="shared" si="104"/>
        <v>1.0616748710159027</v>
      </c>
      <c r="T151" s="135" t="str">
        <f t="shared" si="105"/>
        <v>No</v>
      </c>
      <c r="U151" s="1091">
        <f t="shared" si="106"/>
        <v>1</v>
      </c>
      <c r="V151" s="1494">
        <f t="shared" si="97"/>
        <v>72463.461759728001</v>
      </c>
      <c r="W151" s="1491">
        <f t="shared" si="98"/>
        <v>0.33462375034984448</v>
      </c>
      <c r="X151" s="527">
        <f t="shared" si="107"/>
        <v>35268.416425243558</v>
      </c>
      <c r="Y151" s="1509">
        <f t="shared" si="108"/>
        <v>14007.807122641934</v>
      </c>
      <c r="Z151" s="528">
        <f t="shared" si="109"/>
        <v>3681.1215820084799</v>
      </c>
      <c r="AA151" s="528">
        <f t="shared" si="110"/>
        <v>0</v>
      </c>
      <c r="AB151" s="528">
        <f t="shared" si="111"/>
        <v>19506.116629834032</v>
      </c>
      <c r="AC151" s="528">
        <f t="shared" si="112"/>
        <v>72463.461759728001</v>
      </c>
      <c r="AD151" s="1487">
        <f t="shared" si="113"/>
        <v>2247.5884668456129</v>
      </c>
      <c r="AE151" s="1504">
        <f t="shared" si="114"/>
        <v>0.48670620432384848</v>
      </c>
      <c r="AF151" s="1504">
        <f t="shared" si="115"/>
        <v>0.19330855554608428</v>
      </c>
      <c r="AG151" s="1504">
        <f t="shared" si="116"/>
        <v>5.0799692598377695E-2</v>
      </c>
      <c r="AH151" s="1504">
        <f t="shared" si="129"/>
        <v>0</v>
      </c>
      <c r="AI151" s="1504">
        <f t="shared" si="117"/>
        <v>0.26918554753168961</v>
      </c>
      <c r="AJ151" s="1541">
        <f t="shared" si="118"/>
        <v>1</v>
      </c>
      <c r="AK151" s="1555">
        <f t="shared" si="119"/>
        <v>35268.416425243551</v>
      </c>
      <c r="AL151" s="1498">
        <f t="shared" si="120"/>
        <v>0</v>
      </c>
      <c r="AM151" s="1498">
        <f t="shared" si="121"/>
        <v>0</v>
      </c>
      <c r="AN151" s="1498">
        <f t="shared" si="122"/>
        <v>35268.416425243551</v>
      </c>
      <c r="AO151" s="1563">
        <f t="shared" si="123"/>
        <v>0</v>
      </c>
    </row>
    <row r="152" spans="1:41">
      <c r="A152" s="873">
        <f>'Input data'!A132</f>
        <v>2032</v>
      </c>
      <c r="B152" s="1551">
        <f>'Input data'!B132</f>
        <v>67.08666821358311</v>
      </c>
      <c r="C152" s="1550">
        <f>'Input data'!C132</f>
        <v>5535.3993263804541</v>
      </c>
      <c r="D152" s="1550">
        <f>'Input data'!D132</f>
        <v>41932973.31689404</v>
      </c>
      <c r="E152" s="1508">
        <f>'Input data'!J132*C152</f>
        <v>66596.641858314426</v>
      </c>
      <c r="F152" s="1509">
        <f>'Input data'!L132</f>
        <v>108529.61517520846</v>
      </c>
      <c r="G152" s="1509">
        <f t="shared" ref="G152:G159" si="133">$G$150*(1+((($G$160/$G$150)^(1/($A$160-$A$150)))-1))^(A152-$A$150)</f>
        <v>31863.814308498775</v>
      </c>
      <c r="H152" s="1509">
        <f t="shared" si="125"/>
        <v>45701.906577209891</v>
      </c>
      <c r="I152" s="1511">
        <f t="shared" si="99"/>
        <v>41932.973316894037</v>
      </c>
      <c r="J152" s="1504">
        <f t="shared" si="132"/>
        <v>0.2</v>
      </c>
      <c r="K152" s="1512">
        <f t="shared" si="126"/>
        <v>5805.7149831525367</v>
      </c>
      <c r="L152" s="1512">
        <f t="shared" si="101"/>
        <v>0</v>
      </c>
      <c r="M152" s="1509">
        <f t="shared" si="127"/>
        <v>5805.7149831525367</v>
      </c>
      <c r="N152" s="1454">
        <f t="shared" si="131"/>
        <v>0.5</v>
      </c>
      <c r="O152" s="1511">
        <f t="shared" si="102"/>
        <v>751.91700000000026</v>
      </c>
      <c r="P152" s="1689">
        <f t="shared" si="130"/>
        <v>6557.631983152537</v>
      </c>
      <c r="Q152" s="1364">
        <f t="shared" si="103"/>
        <v>71008.088902556134</v>
      </c>
      <c r="R152" s="1364">
        <f t="shared" si="128"/>
        <v>39144.274594057359</v>
      </c>
      <c r="S152" s="1091">
        <f t="shared" si="104"/>
        <v>1.0449142426715432</v>
      </c>
      <c r="T152" s="135" t="str">
        <f t="shared" si="105"/>
        <v>No</v>
      </c>
      <c r="U152" s="1091">
        <f t="shared" si="106"/>
        <v>1</v>
      </c>
      <c r="V152" s="1494">
        <f t="shared" si="97"/>
        <v>71067.904926167583</v>
      </c>
      <c r="W152" s="1491">
        <f t="shared" si="98"/>
        <v>0.34517500304929016</v>
      </c>
      <c r="X152" s="527">
        <f t="shared" si="107"/>
        <v>33546.378653515232</v>
      </c>
      <c r="Y152" s="1509">
        <f t="shared" si="108"/>
        <v>13719.529953961683</v>
      </c>
      <c r="Z152" s="528">
        <f t="shared" si="109"/>
        <v>3761.3857443265993</v>
      </c>
      <c r="AA152" s="528">
        <f t="shared" si="110"/>
        <v>0</v>
      </c>
      <c r="AB152" s="528">
        <f t="shared" si="111"/>
        <v>20040.610574364066</v>
      </c>
      <c r="AC152" s="528">
        <f t="shared" si="112"/>
        <v>71067.904926167583</v>
      </c>
      <c r="AD152" s="1487">
        <f t="shared" si="113"/>
        <v>1682.5643450164571</v>
      </c>
      <c r="AE152" s="1504">
        <f t="shared" si="114"/>
        <v>0.47203275076655982</v>
      </c>
      <c r="AF152" s="1504">
        <f t="shared" si="115"/>
        <v>0.19304818353960057</v>
      </c>
      <c r="AG152" s="1504">
        <f t="shared" si="116"/>
        <v>5.2926644569504355E-2</v>
      </c>
      <c r="AH152" s="1504">
        <f t="shared" si="129"/>
        <v>0</v>
      </c>
      <c r="AI152" s="1504">
        <f t="shared" si="117"/>
        <v>0.2819924211243352</v>
      </c>
      <c r="AJ152" s="1541">
        <f t="shared" si="118"/>
        <v>0.99999999999999989</v>
      </c>
      <c r="AK152" s="1555">
        <f t="shared" si="119"/>
        <v>33546.378653515225</v>
      </c>
      <c r="AL152" s="1498">
        <f t="shared" si="120"/>
        <v>0</v>
      </c>
      <c r="AM152" s="1498">
        <f t="shared" si="121"/>
        <v>0</v>
      </c>
      <c r="AN152" s="1498">
        <f t="shared" si="122"/>
        <v>33546.378653515225</v>
      </c>
      <c r="AO152" s="1563">
        <f t="shared" si="123"/>
        <v>0</v>
      </c>
    </row>
    <row r="153" spans="1:41">
      <c r="A153" s="873">
        <f>'Input data'!A133</f>
        <v>2033</v>
      </c>
      <c r="B153" s="1551">
        <f>'Input data'!B133</f>
        <v>67.659204065895452</v>
      </c>
      <c r="C153" s="1550">
        <f>'Input data'!C133</f>
        <v>5694.7516404688276</v>
      </c>
      <c r="D153" s="1550">
        <f>'Input data'!D133</f>
        <v>41056214.022582531</v>
      </c>
      <c r="E153" s="1508">
        <f>'Input data'!J133*C153</f>
        <v>68513.816819849919</v>
      </c>
      <c r="F153" s="1509">
        <f>'Input data'!L133</f>
        <v>109570.03084243245</v>
      </c>
      <c r="G153" s="1509">
        <f t="shared" si="133"/>
        <v>30747.341149823493</v>
      </c>
      <c r="H153" s="1509">
        <f t="shared" si="125"/>
        <v>47095.671636146159</v>
      </c>
      <c r="I153" s="1511">
        <f t="shared" si="99"/>
        <v>41056.214022582528</v>
      </c>
      <c r="J153" s="1504">
        <f t="shared" si="132"/>
        <v>0.2</v>
      </c>
      <c r="K153" s="1512">
        <f t="shared" si="126"/>
        <v>5684.3256761474004</v>
      </c>
      <c r="L153" s="1512">
        <f t="shared" si="101"/>
        <v>0</v>
      </c>
      <c r="M153" s="1509">
        <f t="shared" si="127"/>
        <v>5684.3256761474004</v>
      </c>
      <c r="N153" s="1454">
        <f t="shared" si="131"/>
        <v>0.5</v>
      </c>
      <c r="O153" s="1511">
        <f t="shared" si="102"/>
        <v>751.91700000000026</v>
      </c>
      <c r="P153" s="1689">
        <f t="shared" si="130"/>
        <v>6436.2426761474007</v>
      </c>
      <c r="Q153" s="1364">
        <f t="shared" si="103"/>
        <v>71406.770109822246</v>
      </c>
      <c r="R153" s="1364">
        <f t="shared" si="128"/>
        <v>40659.428959998753</v>
      </c>
      <c r="S153" s="1091">
        <f t="shared" si="104"/>
        <v>1.0543965823308872</v>
      </c>
      <c r="T153" s="135" t="str">
        <f t="shared" si="105"/>
        <v>No</v>
      </c>
      <c r="U153" s="1091">
        <f t="shared" si="106"/>
        <v>1</v>
      </c>
      <c r="V153" s="1494">
        <f t="shared" si="97"/>
        <v>71008.231950676243</v>
      </c>
      <c r="W153" s="1491">
        <f t="shared" si="98"/>
        <v>0.35193746497352119</v>
      </c>
      <c r="X153" s="527">
        <f t="shared" si="107"/>
        <v>32844.971218066021</v>
      </c>
      <c r="Y153" s="1509">
        <f t="shared" si="108"/>
        <v>13697.701902386038</v>
      </c>
      <c r="Z153" s="528">
        <f t="shared" si="109"/>
        <v>3848.0219164089949</v>
      </c>
      <c r="AA153" s="528">
        <f t="shared" si="110"/>
        <v>0</v>
      </c>
      <c r="AB153" s="528">
        <f t="shared" si="111"/>
        <v>20617.53691381518</v>
      </c>
      <c r="AC153" s="528">
        <f t="shared" si="112"/>
        <v>71008.231950676243</v>
      </c>
      <c r="AD153" s="1487">
        <f t="shared" si="113"/>
        <v>2097.6300682425281</v>
      </c>
      <c r="AE153" s="1504">
        <f t="shared" si="114"/>
        <v>0.4625515988185821</v>
      </c>
      <c r="AF153" s="1504">
        <f t="shared" si="115"/>
        <v>0.19290301315910441</v>
      </c>
      <c r="AG153" s="1504">
        <f t="shared" si="116"/>
        <v>5.4191208690872752E-2</v>
      </c>
      <c r="AH153" s="1504">
        <f t="shared" si="129"/>
        <v>0</v>
      </c>
      <c r="AI153" s="1504">
        <f t="shared" si="117"/>
        <v>0.29035417933144059</v>
      </c>
      <c r="AJ153" s="1541">
        <f t="shared" si="118"/>
        <v>0.99999999999999989</v>
      </c>
      <c r="AK153" s="1555">
        <f t="shared" si="119"/>
        <v>32844.971218066028</v>
      </c>
      <c r="AL153" s="1498">
        <f t="shared" si="120"/>
        <v>0</v>
      </c>
      <c r="AM153" s="1498">
        <f t="shared" si="121"/>
        <v>0</v>
      </c>
      <c r="AN153" s="1498">
        <f t="shared" si="122"/>
        <v>32844.971218066028</v>
      </c>
      <c r="AO153" s="1563">
        <f t="shared" si="123"/>
        <v>0</v>
      </c>
    </row>
    <row r="154" spans="1:41">
      <c r="A154" s="873">
        <f>'Input data'!A134</f>
        <v>2034</v>
      </c>
      <c r="B154" s="1551">
        <f>'Input data'!B134</f>
        <v>68.236626094715163</v>
      </c>
      <c r="C154" s="1550">
        <f>'Input data'!C134</f>
        <v>5880.7243334969316</v>
      </c>
      <c r="D154" s="1550">
        <f>'Input data'!D134</f>
        <v>40488564.369250603</v>
      </c>
      <c r="E154" s="1508">
        <f>'Input data'!J134*C154</f>
        <v>70751.262775012379</v>
      </c>
      <c r="F154" s="1509">
        <f>'Input data'!L134</f>
        <v>111239.82714426299</v>
      </c>
      <c r="G154" s="1509">
        <f t="shared" si="133"/>
        <v>29669.987987956312</v>
      </c>
      <c r="H154" s="1509">
        <f t="shared" si="125"/>
        <v>48924.175116262835</v>
      </c>
      <c r="I154" s="1511">
        <f t="shared" si="99"/>
        <v>40488.564369250606</v>
      </c>
      <c r="J154" s="1504">
        <f t="shared" si="132"/>
        <v>0.2</v>
      </c>
      <c r="K154" s="1512">
        <f t="shared" si="126"/>
        <v>5605.7332979579269</v>
      </c>
      <c r="L154" s="1512">
        <f t="shared" si="101"/>
        <v>0</v>
      </c>
      <c r="M154" s="1509">
        <f t="shared" si="127"/>
        <v>5605.7332979579269</v>
      </c>
      <c r="N154" s="1454">
        <f t="shared" si="131"/>
        <v>0.5</v>
      </c>
      <c r="O154" s="1511">
        <f t="shared" si="102"/>
        <v>751.91700000000026</v>
      </c>
      <c r="P154" s="1689">
        <f t="shared" si="130"/>
        <v>6357.6502979579273</v>
      </c>
      <c r="Q154" s="1364">
        <f t="shared" si="103"/>
        <v>72236.51280626122</v>
      </c>
      <c r="R154" s="1364">
        <f t="shared" si="128"/>
        <v>42566.524818304912</v>
      </c>
      <c r="S154" s="1091">
        <f t="shared" si="104"/>
        <v>1.0682850633652943</v>
      </c>
      <c r="T154" s="135" t="str">
        <f t="shared" si="105"/>
        <v>No</v>
      </c>
      <c r="U154" s="1091">
        <f t="shared" si="106"/>
        <v>1</v>
      </c>
      <c r="V154" s="1494">
        <f t="shared" si="97"/>
        <v>71394.16583340225</v>
      </c>
      <c r="W154" s="1491">
        <f t="shared" si="98"/>
        <v>0.35819600168190047</v>
      </c>
      <c r="X154" s="527">
        <f t="shared" si="107"/>
        <v>32390.851495400486</v>
      </c>
      <c r="Y154" s="1509">
        <f t="shared" si="108"/>
        <v>13763.342484858193</v>
      </c>
      <c r="Z154" s="528">
        <f t="shared" si="109"/>
        <v>3949.1309735819841</v>
      </c>
      <c r="AA154" s="528">
        <f t="shared" si="110"/>
        <v>0</v>
      </c>
      <c r="AB154" s="528">
        <f t="shared" si="111"/>
        <v>21290.840879561598</v>
      </c>
      <c r="AC154" s="528">
        <f t="shared" si="112"/>
        <v>71394.16583340225</v>
      </c>
      <c r="AD154" s="1487">
        <f t="shared" si="113"/>
        <v>2720.8635074441736</v>
      </c>
      <c r="AE154" s="1504">
        <f t="shared" si="114"/>
        <v>0.45369045379680317</v>
      </c>
      <c r="AF154" s="1504">
        <f t="shared" si="115"/>
        <v>0.19277965256957899</v>
      </c>
      <c r="AG154" s="1504">
        <f t="shared" si="116"/>
        <v>5.5314477415385054E-2</v>
      </c>
      <c r="AH154" s="1504">
        <f t="shared" si="129"/>
        <v>0</v>
      </c>
      <c r="AI154" s="1504">
        <f t="shared" si="117"/>
        <v>0.29821541621823294</v>
      </c>
      <c r="AJ154" s="1541">
        <f t="shared" si="118"/>
        <v>1.0000000000000002</v>
      </c>
      <c r="AK154" s="1555">
        <f t="shared" si="119"/>
        <v>32390.851495400482</v>
      </c>
      <c r="AL154" s="1498">
        <f t="shared" si="120"/>
        <v>0</v>
      </c>
      <c r="AM154" s="1498">
        <f t="shared" si="121"/>
        <v>0</v>
      </c>
      <c r="AN154" s="1498">
        <f t="shared" si="122"/>
        <v>32390.851495400482</v>
      </c>
      <c r="AO154" s="1563">
        <f t="shared" si="123"/>
        <v>0</v>
      </c>
    </row>
    <row r="155" spans="1:41">
      <c r="A155" s="873">
        <f>'Input data'!A135</f>
        <v>2035</v>
      </c>
      <c r="B155" s="1551">
        <f>'Input data'!B135</f>
        <v>68.818976000000006</v>
      </c>
      <c r="C155" s="1550">
        <f>'Input data'!C135</f>
        <v>6030.7021264561972</v>
      </c>
      <c r="D155" s="1550">
        <f>'Input data'!D135</f>
        <v>31941700.142198853</v>
      </c>
      <c r="E155" s="1508">
        <f>'Input data'!J135*C155</f>
        <v>72555.652445114043</v>
      </c>
      <c r="F155" s="1509">
        <f>'Input data'!L135</f>
        <v>104497.3525873129</v>
      </c>
      <c r="G155" s="1509">
        <f t="shared" si="133"/>
        <v>28630.384101050156</v>
      </c>
      <c r="H155" s="1509">
        <f t="shared" si="125"/>
        <v>42978.326580860892</v>
      </c>
      <c r="I155" s="1511">
        <f t="shared" si="99"/>
        <v>31941.700142198853</v>
      </c>
      <c r="J155" s="1504">
        <f t="shared" si="132"/>
        <v>0.2</v>
      </c>
      <c r="K155" s="1512">
        <f t="shared" si="126"/>
        <v>4422.4006178025347</v>
      </c>
      <c r="L155" s="1512">
        <f t="shared" si="101"/>
        <v>0</v>
      </c>
      <c r="M155" s="1509">
        <f t="shared" si="127"/>
        <v>4422.4006178025347</v>
      </c>
      <c r="N155" s="1454">
        <f t="shared" si="131"/>
        <v>0.5</v>
      </c>
      <c r="O155" s="1511">
        <f t="shared" si="102"/>
        <v>751.91700000000026</v>
      </c>
      <c r="P155" s="1689">
        <f t="shared" si="130"/>
        <v>5174.3176178025351</v>
      </c>
      <c r="Q155" s="1364">
        <f t="shared" si="103"/>
        <v>66434.393064108517</v>
      </c>
      <c r="R155" s="1364">
        <f t="shared" si="128"/>
        <v>37804.008963058361</v>
      </c>
      <c r="S155" s="1091">
        <f t="shared" si="104"/>
        <v>0.92473223484768219</v>
      </c>
      <c r="T155" s="135" t="str">
        <f t="shared" si="105"/>
        <v>Yes</v>
      </c>
      <c r="U155" s="1091">
        <f t="shared" si="106"/>
        <v>0.92473223484768219</v>
      </c>
      <c r="V155" s="1494">
        <f t="shared" si="97"/>
        <v>66693.343624254543</v>
      </c>
      <c r="W155" s="1491">
        <f t="shared" si="98"/>
        <v>0.36177001643626483</v>
      </c>
      <c r="X155" s="527">
        <f t="shared" si="107"/>
        <v>28630.384101050153</v>
      </c>
      <c r="Y155" s="1509">
        <f t="shared" si="108"/>
        <v>12198.461810241093</v>
      </c>
      <c r="Z155" s="528">
        <f t="shared" si="109"/>
        <v>4030.6704350808041</v>
      </c>
      <c r="AA155" s="528">
        <f t="shared" si="110"/>
        <v>0</v>
      </c>
      <c r="AB155" s="528">
        <f t="shared" si="111"/>
        <v>21833.82727788249</v>
      </c>
      <c r="AC155" s="528">
        <f t="shared" si="112"/>
        <v>66693.343624254543</v>
      </c>
      <c r="AD155" s="1487">
        <f t="shared" si="113"/>
        <v>0</v>
      </c>
      <c r="AE155" s="1504">
        <f t="shared" si="114"/>
        <v>0.42928398165717496</v>
      </c>
      <c r="AF155" s="1504">
        <f t="shared" si="115"/>
        <v>0.18290373742492716</v>
      </c>
      <c r="AG155" s="1504">
        <f t="shared" si="116"/>
        <v>6.0435872847960793E-2</v>
      </c>
      <c r="AH155" s="1504">
        <f t="shared" si="129"/>
        <v>0</v>
      </c>
      <c r="AI155" s="1504">
        <f t="shared" si="117"/>
        <v>0.32737640806993706</v>
      </c>
      <c r="AJ155" s="1541">
        <f t="shared" si="118"/>
        <v>1</v>
      </c>
      <c r="AK155" s="1555">
        <f t="shared" si="119"/>
        <v>25553.360113759081</v>
      </c>
      <c r="AL155" s="1498">
        <f t="shared" si="120"/>
        <v>2914.6571096122816</v>
      </c>
      <c r="AM155" s="1498">
        <f t="shared" si="121"/>
        <v>162.36687767878553</v>
      </c>
      <c r="AN155" s="1498">
        <f t="shared" si="122"/>
        <v>28630.384101050149</v>
      </c>
      <c r="AO155" s="1563">
        <f t="shared" si="123"/>
        <v>0</v>
      </c>
    </row>
    <row r="156" spans="1:41">
      <c r="A156" s="873">
        <f>'Input data'!A136</f>
        <v>2036</v>
      </c>
      <c r="B156" s="1551">
        <f>'Input data'!B136</f>
        <v>69.322810489383542</v>
      </c>
      <c r="C156" s="1550">
        <f>'Input data'!C136</f>
        <v>6175.9287194301432</v>
      </c>
      <c r="D156" s="1550">
        <f>'Input data'!D136</f>
        <v>22500187.169642892</v>
      </c>
      <c r="E156" s="1508">
        <f>'Input data'!J136*C156</f>
        <v>74302.880211410215</v>
      </c>
      <c r="F156" s="1509">
        <f>'Input data'!L136</f>
        <v>96803.067381053115</v>
      </c>
      <c r="G156" s="1509">
        <f t="shared" si="133"/>
        <v>27627.206795850379</v>
      </c>
      <c r="H156" s="1509">
        <f t="shared" si="125"/>
        <v>36123.666417989705</v>
      </c>
      <c r="I156" s="1511">
        <f t="shared" si="99"/>
        <v>22500.187169642893</v>
      </c>
      <c r="J156" s="1504">
        <f t="shared" si="132"/>
        <v>0.2</v>
      </c>
      <c r="K156" s="1512">
        <f t="shared" si="126"/>
        <v>3115.201795669087</v>
      </c>
      <c r="L156" s="1512">
        <f t="shared" si="101"/>
        <v>0</v>
      </c>
      <c r="M156" s="1509">
        <f t="shared" si="127"/>
        <v>3115.201795669087</v>
      </c>
      <c r="N156" s="1454">
        <f t="shared" si="131"/>
        <v>0.5</v>
      </c>
      <c r="O156" s="1511">
        <f t="shared" si="102"/>
        <v>751.91700000000026</v>
      </c>
      <c r="P156" s="1689">
        <f t="shared" si="130"/>
        <v>3867.1187956690874</v>
      </c>
      <c r="Q156" s="1364">
        <f t="shared" si="103"/>
        <v>59883.754418170996</v>
      </c>
      <c r="R156" s="1364">
        <f t="shared" si="128"/>
        <v>32256.547622320617</v>
      </c>
      <c r="S156" s="1091">
        <f t="shared" si="104"/>
        <v>0.77014736116615956</v>
      </c>
      <c r="T156" s="135" t="str">
        <f t="shared" si="105"/>
        <v>Yes</v>
      </c>
      <c r="U156" s="1091">
        <f t="shared" si="106"/>
        <v>0.77014736116615956</v>
      </c>
      <c r="V156" s="1494">
        <f t="shared" si="97"/>
        <v>64546.519758732502</v>
      </c>
      <c r="W156" s="1491">
        <f t="shared" si="98"/>
        <v>0.33321823879140899</v>
      </c>
      <c r="X156" s="527">
        <f t="shared" si="107"/>
        <v>27627.206795850379</v>
      </c>
      <c r="Y156" s="1509">
        <f t="shared" si="108"/>
        <v>10450.073967518601</v>
      </c>
      <c r="Z156" s="528">
        <f t="shared" si="109"/>
        <v>4109.6267789017866</v>
      </c>
      <c r="AA156" s="528">
        <f t="shared" si="110"/>
        <v>0</v>
      </c>
      <c r="AB156" s="528">
        <f t="shared" si="111"/>
        <v>22359.612216461734</v>
      </c>
      <c r="AC156" s="528">
        <f t="shared" si="112"/>
        <v>64546.519758732502</v>
      </c>
      <c r="AD156" s="1487">
        <f t="shared" si="113"/>
        <v>0</v>
      </c>
      <c r="AE156" s="1504">
        <f t="shared" si="114"/>
        <v>0.42802008379565176</v>
      </c>
      <c r="AF156" s="1504">
        <f t="shared" si="115"/>
        <v>0.16189988254331575</v>
      </c>
      <c r="AG156" s="1504">
        <f t="shared" si="116"/>
        <v>6.3669223286756602E-2</v>
      </c>
      <c r="AH156" s="1504">
        <f t="shared" si="129"/>
        <v>0</v>
      </c>
      <c r="AI156" s="1504">
        <f t="shared" si="117"/>
        <v>0.34641081037427585</v>
      </c>
      <c r="AJ156" s="1541">
        <f t="shared" si="118"/>
        <v>1</v>
      </c>
      <c r="AK156" s="1555">
        <f t="shared" si="119"/>
        <v>18000.149735714313</v>
      </c>
      <c r="AL156" s="1498">
        <f t="shared" si="120"/>
        <v>9115.1189399300965</v>
      </c>
      <c r="AM156" s="1498">
        <f t="shared" si="121"/>
        <v>511.93812020596414</v>
      </c>
      <c r="AN156" s="1498">
        <f t="shared" si="122"/>
        <v>27627.206795850372</v>
      </c>
      <c r="AO156" s="1563">
        <f t="shared" si="123"/>
        <v>0</v>
      </c>
    </row>
    <row r="157" spans="1:41">
      <c r="A157" s="873">
        <f>'Input data'!A137</f>
        <v>2037</v>
      </c>
      <c r="B157" s="1551">
        <f>'Input data'!B137</f>
        <v>69.830333629884052</v>
      </c>
      <c r="C157" s="1550">
        <f>'Input data'!C137</f>
        <v>6338.2033947034479</v>
      </c>
      <c r="D157" s="1550">
        <f>'Input data'!D137</f>
        <v>17781297.212015409</v>
      </c>
      <c r="E157" s="1508">
        <f>'Input data'!J137*C157</f>
        <v>76255.214233699648</v>
      </c>
      <c r="F157" s="1509">
        <f>'Input data'!L137</f>
        <v>94036.511445715063</v>
      </c>
      <c r="G157" s="1509">
        <f t="shared" si="133"/>
        <v>26659.179724825448</v>
      </c>
      <c r="H157" s="1509">
        <f t="shared" si="125"/>
        <v>33783.503699057852</v>
      </c>
      <c r="I157" s="1511">
        <f t="shared" si="99"/>
        <v>17781.297212015408</v>
      </c>
      <c r="J157" s="1504">
        <f t="shared" si="132"/>
        <v>0.2</v>
      </c>
      <c r="K157" s="1512">
        <f t="shared" si="126"/>
        <v>2461.8608097150009</v>
      </c>
      <c r="L157" s="1512">
        <f t="shared" si="101"/>
        <v>0</v>
      </c>
      <c r="M157" s="1509">
        <f t="shared" si="127"/>
        <v>2461.8608097150009</v>
      </c>
      <c r="N157" s="1454">
        <f t="shared" si="131"/>
        <v>0.5</v>
      </c>
      <c r="O157" s="1511">
        <f t="shared" si="102"/>
        <v>751.91700000000026</v>
      </c>
      <c r="P157" s="1689">
        <f t="shared" si="130"/>
        <v>3213.7778097150012</v>
      </c>
      <c r="Q157" s="1364">
        <f t="shared" si="103"/>
        <v>57228.905614168296</v>
      </c>
      <c r="R157" s="1364">
        <f t="shared" si="128"/>
        <v>30569.725889342848</v>
      </c>
      <c r="S157" s="1091">
        <f t="shared" si="104"/>
        <v>0.71085991613223665</v>
      </c>
      <c r="T157" s="135" t="str">
        <f t="shared" si="105"/>
        <v>Yes</v>
      </c>
      <c r="U157" s="1091">
        <f t="shared" si="106"/>
        <v>0.71085991613223665</v>
      </c>
      <c r="V157" s="1494">
        <f t="shared" si="97"/>
        <v>63466.785556372226</v>
      </c>
      <c r="W157" s="1491">
        <f t="shared" si="98"/>
        <v>0.32508358104064694</v>
      </c>
      <c r="X157" s="527">
        <f t="shared" si="107"/>
        <v>26659.179724825452</v>
      </c>
      <c r="Y157" s="1509">
        <f t="shared" si="108"/>
        <v>9662.6352555114918</v>
      </c>
      <c r="Z157" s="528">
        <f t="shared" si="109"/>
        <v>4197.8517712529874</v>
      </c>
      <c r="AA157" s="528">
        <f t="shared" si="110"/>
        <v>0</v>
      </c>
      <c r="AB157" s="528">
        <f t="shared" si="111"/>
        <v>22947.118804782291</v>
      </c>
      <c r="AC157" s="528">
        <f t="shared" si="112"/>
        <v>63466.785556372226</v>
      </c>
      <c r="AD157" s="1487">
        <f t="shared" si="113"/>
        <v>0</v>
      </c>
      <c r="AE157" s="1504">
        <f t="shared" si="114"/>
        <v>0.42004931384379529</v>
      </c>
      <c r="AF157" s="1504">
        <f t="shared" si="115"/>
        <v>0.1522471190372322</v>
      </c>
      <c r="AG157" s="1504">
        <f t="shared" si="116"/>
        <v>6.6142498543972861E-2</v>
      </c>
      <c r="AH157" s="1504">
        <f t="shared" si="129"/>
        <v>0</v>
      </c>
      <c r="AI157" s="1504">
        <f t="shared" si="117"/>
        <v>0.36156106857499959</v>
      </c>
      <c r="AJ157" s="1541">
        <f t="shared" si="118"/>
        <v>0.99999999999999989</v>
      </c>
      <c r="AK157" s="1555">
        <f t="shared" si="119"/>
        <v>14225.037769612327</v>
      </c>
      <c r="AL157" s="1498">
        <f t="shared" si="120"/>
        <v>11767.522718222077</v>
      </c>
      <c r="AM157" s="1498">
        <f t="shared" si="121"/>
        <v>666.61923699104568</v>
      </c>
      <c r="AN157" s="1498">
        <f t="shared" si="122"/>
        <v>26659.179724825448</v>
      </c>
      <c r="AO157" s="1563">
        <f t="shared" si="123"/>
        <v>0</v>
      </c>
    </row>
    <row r="158" spans="1:41">
      <c r="A158" s="873">
        <f>'Input data'!A138</f>
        <v>2038</v>
      </c>
      <c r="B158" s="1551">
        <f>'Input data'!B138</f>
        <v>70.341572426693446</v>
      </c>
      <c r="C158" s="1550">
        <f>'Input data'!C138</f>
        <v>6499.2753713641341</v>
      </c>
      <c r="D158" s="1550">
        <f>'Input data'!D138</f>
        <v>14837853.800490763</v>
      </c>
      <c r="E158" s="1508">
        <f>'Input data'!J138*C158</f>
        <v>78193.078534105356</v>
      </c>
      <c r="F158" s="1509">
        <f>'Input data'!L138</f>
        <v>93030.932334596117</v>
      </c>
      <c r="G158" s="1509">
        <f t="shared" si="133"/>
        <v>25725.071262263602</v>
      </c>
      <c r="H158" s="1509">
        <f t="shared" si="125"/>
        <v>33067.291368418984</v>
      </c>
      <c r="I158" s="1511">
        <f t="shared" si="99"/>
        <v>14837.853800490762</v>
      </c>
      <c r="J158" s="1504">
        <f t="shared" si="132"/>
        <v>0.2</v>
      </c>
      <c r="K158" s="1512">
        <f t="shared" si="126"/>
        <v>2054.3344130722548</v>
      </c>
      <c r="L158" s="1512">
        <f t="shared" si="101"/>
        <v>0</v>
      </c>
      <c r="M158" s="1509">
        <f t="shared" si="127"/>
        <v>2054.3344130722548</v>
      </c>
      <c r="N158" s="1454">
        <f t="shared" si="131"/>
        <v>0.5</v>
      </c>
      <c r="O158" s="1511">
        <f t="shared" si="102"/>
        <v>751.91700000000026</v>
      </c>
      <c r="P158" s="1689">
        <f t="shared" si="130"/>
        <v>2806.2514130722552</v>
      </c>
      <c r="Q158" s="1364">
        <f t="shared" si="103"/>
        <v>55986.111217610334</v>
      </c>
      <c r="R158" s="1364">
        <f t="shared" si="128"/>
        <v>30261.039955346732</v>
      </c>
      <c r="S158" s="1091">
        <f t="shared" si="104"/>
        <v>0.68594518579102925</v>
      </c>
      <c r="T158" s="135" t="str">
        <f t="shared" si="105"/>
        <v>Yes</v>
      </c>
      <c r="U158" s="1091">
        <f t="shared" si="106"/>
        <v>0.68594518579102925</v>
      </c>
      <c r="V158" s="1494">
        <f t="shared" si="97"/>
        <v>62769.892379249388</v>
      </c>
      <c r="W158" s="1491">
        <f t="shared" si="98"/>
        <v>0.32527933662439845</v>
      </c>
      <c r="X158" s="527">
        <f t="shared" si="107"/>
        <v>25725.071262263598</v>
      </c>
      <c r="Y158" s="1509">
        <f t="shared" si="108"/>
        <v>9229.1271442927318</v>
      </c>
      <c r="Z158" s="528">
        <f t="shared" si="109"/>
        <v>4285.4228841512158</v>
      </c>
      <c r="AA158" s="528">
        <f t="shared" si="110"/>
        <v>0</v>
      </c>
      <c r="AB158" s="528">
        <f t="shared" si="111"/>
        <v>23530.271088541846</v>
      </c>
      <c r="AC158" s="528">
        <f t="shared" si="112"/>
        <v>62769.892379249388</v>
      </c>
      <c r="AD158" s="1487">
        <f t="shared" si="113"/>
        <v>0</v>
      </c>
      <c r="AE158" s="1504">
        <f t="shared" si="114"/>
        <v>0.4098313743607413</v>
      </c>
      <c r="AF158" s="1504">
        <f t="shared" si="115"/>
        <v>0.14703111307776778</v>
      </c>
      <c r="AG158" s="1504">
        <f t="shared" si="116"/>
        <v>6.8271948886882275E-2</v>
      </c>
      <c r="AH158" s="1504">
        <f t="shared" si="129"/>
        <v>0</v>
      </c>
      <c r="AI158" s="1504">
        <f t="shared" si="117"/>
        <v>0.37486556367460866</v>
      </c>
      <c r="AJ158" s="1541">
        <f t="shared" si="118"/>
        <v>1</v>
      </c>
      <c r="AK158" s="1555">
        <f t="shared" si="119"/>
        <v>11870.283040392609</v>
      </c>
      <c r="AL158" s="1498">
        <f t="shared" si="120"/>
        <v>13106.3259481771</v>
      </c>
      <c r="AM158" s="1498">
        <f t="shared" si="121"/>
        <v>748.46227369388555</v>
      </c>
      <c r="AN158" s="1498">
        <f t="shared" si="122"/>
        <v>25725.071262263595</v>
      </c>
      <c r="AO158" s="1563">
        <f t="shared" si="123"/>
        <v>0</v>
      </c>
    </row>
    <row r="159" spans="1:41">
      <c r="A159" s="873">
        <f>'Input data'!A139</f>
        <v>2039</v>
      </c>
      <c r="B159" s="1551">
        <f>'Input data'!B139</f>
        <v>70.856554082712819</v>
      </c>
      <c r="C159" s="1550">
        <f>'Input data'!C139</f>
        <v>6668.6889746882025</v>
      </c>
      <c r="D159" s="1550">
        <f>'Input data'!D139</f>
        <v>11894410.388966125</v>
      </c>
      <c r="E159" s="1508">
        <f>'Input data'!J139*C159</f>
        <v>80231.30132550007</v>
      </c>
      <c r="F159" s="1509">
        <f>'Input data'!L139</f>
        <v>92125.71171446619</v>
      </c>
      <c r="G159" s="1509">
        <f t="shared" si="133"/>
        <v>24823.692937269236</v>
      </c>
      <c r="H159" s="1509">
        <f t="shared" si="125"/>
        <v>32375.935316868457</v>
      </c>
      <c r="I159" s="1511">
        <f t="shared" si="99"/>
        <v>11894.410388966124</v>
      </c>
      <c r="J159" s="1504">
        <f t="shared" si="132"/>
        <v>0.2</v>
      </c>
      <c r="K159" s="1512">
        <f t="shared" si="126"/>
        <v>1646.8080164295093</v>
      </c>
      <c r="L159" s="1512">
        <f t="shared" si="101"/>
        <v>0</v>
      </c>
      <c r="M159" s="1509">
        <f t="shared" si="127"/>
        <v>1646.8080164295093</v>
      </c>
      <c r="N159" s="1454">
        <f t="shared" si="131"/>
        <v>0.5</v>
      </c>
      <c r="O159" s="1511">
        <f t="shared" si="102"/>
        <v>751.91700000000026</v>
      </c>
      <c r="P159" s="1689">
        <f t="shared" si="130"/>
        <v>2398.7250164295097</v>
      </c>
      <c r="Q159" s="1364">
        <f t="shared" si="103"/>
        <v>54800.903237708182</v>
      </c>
      <c r="R159" s="1364">
        <f t="shared" si="128"/>
        <v>29977.210300438946</v>
      </c>
      <c r="S159" s="1091">
        <f t="shared" si="104"/>
        <v>0.66196228581677463</v>
      </c>
      <c r="T159" s="135" t="str">
        <f t="shared" si="105"/>
        <v>Yes</v>
      </c>
      <c r="U159" s="1091">
        <f t="shared" si="106"/>
        <v>0.66196228581677463</v>
      </c>
      <c r="V159" s="1494">
        <f t="shared" si="97"/>
        <v>62148.501414027254</v>
      </c>
      <c r="W159" s="1491">
        <f t="shared" si="98"/>
        <v>0.32539461288885452</v>
      </c>
      <c r="X159" s="527">
        <f t="shared" si="107"/>
        <v>24823.692937269232</v>
      </c>
      <c r="Y159" s="1509">
        <f t="shared" si="108"/>
        <v>8803.6555544866223</v>
      </c>
      <c r="Z159" s="528">
        <f t="shared" si="109"/>
        <v>4377.5291467721845</v>
      </c>
      <c r="AA159" s="528">
        <f t="shared" si="110"/>
        <v>0</v>
      </c>
      <c r="AB159" s="528">
        <f t="shared" si="111"/>
        <v>24143.623775499214</v>
      </c>
      <c r="AC159" s="528">
        <f t="shared" si="112"/>
        <v>62148.501414027254</v>
      </c>
      <c r="AD159" s="1487">
        <f t="shared" si="113"/>
        <v>0</v>
      </c>
      <c r="AE159" s="1504">
        <f t="shared" si="114"/>
        <v>0.39942544667161339</v>
      </c>
      <c r="AF159" s="1504">
        <f t="shared" si="115"/>
        <v>0.14165515425444497</v>
      </c>
      <c r="AG159" s="1504">
        <f t="shared" si="116"/>
        <v>7.0436600194259111E-2</v>
      </c>
      <c r="AH159" s="1504">
        <f t="shared" si="129"/>
        <v>0</v>
      </c>
      <c r="AI159" s="1504">
        <f t="shared" si="117"/>
        <v>0.38848279887968251</v>
      </c>
      <c r="AJ159" s="1541">
        <f t="shared" si="118"/>
        <v>1</v>
      </c>
      <c r="AK159" s="1555">
        <f t="shared" si="119"/>
        <v>9515.5283111728986</v>
      </c>
      <c r="AL159" s="1498">
        <f t="shared" si="120"/>
        <v>14474.920593165903</v>
      </c>
      <c r="AM159" s="1498">
        <f t="shared" si="121"/>
        <v>833.24403293042724</v>
      </c>
      <c r="AN159" s="1498">
        <f t="shared" si="122"/>
        <v>24823.692937269228</v>
      </c>
      <c r="AO159" s="1563">
        <f t="shared" si="123"/>
        <v>0</v>
      </c>
    </row>
    <row r="160" spans="1:41" s="1" customFormat="1">
      <c r="A160" s="873">
        <f>'Input data'!A140</f>
        <v>2040</v>
      </c>
      <c r="B160" s="1551">
        <f>'Input data'!B140</f>
        <v>71.375305999999995</v>
      </c>
      <c r="C160" s="1550">
        <f>'Input data'!C140</f>
        <v>6840.2471934556306</v>
      </c>
      <c r="D160" s="1550">
        <f>'Input data'!D140</f>
        <v>8950966.9774414804</v>
      </c>
      <c r="E160" s="1508">
        <f>'Input data'!J140*C160</f>
        <v>82295.326083145788</v>
      </c>
      <c r="F160" s="1509">
        <f>'Input data'!L140</f>
        <v>91246.293060587268</v>
      </c>
      <c r="G160" s="1509">
        <f>G137*(1-$C$5)</f>
        <v>23953.89792166539</v>
      </c>
      <c r="H160" s="1509">
        <f t="shared" si="125"/>
        <v>31667.801307865499</v>
      </c>
      <c r="I160" s="1511">
        <f t="shared" si="99"/>
        <v>8950.9669774414797</v>
      </c>
      <c r="J160" s="1504">
        <f t="shared" si="132"/>
        <v>0.2</v>
      </c>
      <c r="K160" s="1512">
        <f t="shared" si="126"/>
        <v>1239.2816197867635</v>
      </c>
      <c r="L160" s="1512">
        <f t="shared" si="101"/>
        <v>0</v>
      </c>
      <c r="M160" s="1509">
        <f t="shared" si="127"/>
        <v>1239.2816197867635</v>
      </c>
      <c r="N160" s="1454">
        <f t="shared" si="131"/>
        <v>0.5</v>
      </c>
      <c r="O160" s="1511">
        <f t="shared" si="102"/>
        <v>751.91700000000026</v>
      </c>
      <c r="P160" s="1689">
        <f t="shared" si="130"/>
        <v>1991.1986197867636</v>
      </c>
      <c r="Q160" s="1364">
        <f t="shared" si="103"/>
        <v>53630.500609744122</v>
      </c>
      <c r="R160" s="1364">
        <f t="shared" si="128"/>
        <v>29676.602688078732</v>
      </c>
      <c r="S160" s="1091">
        <f t="shared" si="104"/>
        <v>0.63862227273964445</v>
      </c>
      <c r="T160" s="135" t="str">
        <f t="shared" si="105"/>
        <v>Yes</v>
      </c>
      <c r="U160" s="1091">
        <f t="shared" si="106"/>
        <v>0.63862227273964445</v>
      </c>
      <c r="V160" s="1494">
        <f t="shared" si="97"/>
        <v>61569.690372508543</v>
      </c>
      <c r="W160" s="1491">
        <f t="shared" si="98"/>
        <v>0.32523625555257951</v>
      </c>
      <c r="X160" s="527">
        <f t="shared" si="107"/>
        <v>23953.897921665393</v>
      </c>
      <c r="Y160" s="1509">
        <f t="shared" si="108"/>
        <v>8380.2501381773545</v>
      </c>
      <c r="Z160" s="528">
        <f t="shared" si="109"/>
        <v>4470.8013872684305</v>
      </c>
      <c r="AA160" s="528">
        <f t="shared" si="110"/>
        <v>0</v>
      </c>
      <c r="AB160" s="528">
        <f t="shared" si="111"/>
        <v>24764.740925397364</v>
      </c>
      <c r="AC160" s="528">
        <f t="shared" si="112"/>
        <v>61569.690372508543</v>
      </c>
      <c r="AD160" s="1487">
        <f t="shared" si="113"/>
        <v>0</v>
      </c>
      <c r="AE160" s="1504">
        <f t="shared" si="114"/>
        <v>0.38905340885652784</v>
      </c>
      <c r="AF160" s="1504">
        <f t="shared" si="115"/>
        <v>0.13610999320404601</v>
      </c>
      <c r="AG160" s="1504">
        <f t="shared" si="116"/>
        <v>7.2613673387330949E-2</v>
      </c>
      <c r="AH160" s="1504">
        <f t="shared" si="129"/>
        <v>0</v>
      </c>
      <c r="AI160" s="1504">
        <f t="shared" si="117"/>
        <v>0.40222292455209518</v>
      </c>
      <c r="AJ160" s="1541">
        <f t="shared" si="118"/>
        <v>1</v>
      </c>
      <c r="AK160" s="1555">
        <f t="shared" si="119"/>
        <v>7160.7735819531845</v>
      </c>
      <c r="AL160" s="1498">
        <f t="shared" si="120"/>
        <v>15872.442040094993</v>
      </c>
      <c r="AM160" s="1498">
        <f t="shared" si="121"/>
        <v>920.68229961721556</v>
      </c>
      <c r="AN160" s="1498">
        <f t="shared" si="122"/>
        <v>23953.897921665393</v>
      </c>
      <c r="AO160" s="1563">
        <f t="shared" si="123"/>
        <v>0</v>
      </c>
    </row>
    <row r="161" spans="1:41">
      <c r="A161" s="873">
        <f>'Input data'!A141</f>
        <v>2041</v>
      </c>
      <c r="B161" s="1551">
        <f>'Input data'!B141</f>
        <v>71.818612994947316</v>
      </c>
      <c r="C161" s="1550">
        <f>'Input data'!C141</f>
        <v>7028.9784058300729</v>
      </c>
      <c r="D161" s="1550">
        <f>'Input data'!D141</f>
        <v>7408427.529416549</v>
      </c>
      <c r="E161" s="1508">
        <f>'Input data'!J141*C161</f>
        <v>84565.959910426493</v>
      </c>
      <c r="F161" s="1509">
        <f>'Input data'!L141</f>
        <v>91974.387439843034</v>
      </c>
      <c r="G161" s="1509">
        <f>$G$160*(1+((($G$170/$G$160)^(1/($A$170-$A$160)))-1))^(A161-$A$160)</f>
        <v>22650.218174049241</v>
      </c>
      <c r="H161" s="1509">
        <f t="shared" si="125"/>
        <v>32826.787278591451</v>
      </c>
      <c r="I161" s="1511">
        <f t="shared" si="99"/>
        <v>7408.4275294165491</v>
      </c>
      <c r="J161" s="1504">
        <f t="shared" si="132"/>
        <v>0.2</v>
      </c>
      <c r="K161" s="1512">
        <f t="shared" si="126"/>
        <v>1025.7135449015475</v>
      </c>
      <c r="L161" s="1512">
        <f t="shared" si="101"/>
        <v>0</v>
      </c>
      <c r="M161" s="1509">
        <f t="shared" si="127"/>
        <v>1025.7135449015475</v>
      </c>
      <c r="N161" s="1454">
        <f t="shared" si="131"/>
        <v>0.5</v>
      </c>
      <c r="O161" s="1511">
        <f t="shared" si="102"/>
        <v>751.91700000000026</v>
      </c>
      <c r="P161" s="1689">
        <f t="shared" si="130"/>
        <v>1777.6305449015476</v>
      </c>
      <c r="Q161" s="1364">
        <f t="shared" si="103"/>
        <v>53699.374907739148</v>
      </c>
      <c r="R161" s="1364">
        <f t="shared" si="128"/>
        <v>31049.156733689906</v>
      </c>
      <c r="S161" s="1091">
        <f t="shared" si="104"/>
        <v>0.64993605876713267</v>
      </c>
      <c r="T161" s="135" t="str">
        <f t="shared" si="105"/>
        <v>Yes</v>
      </c>
      <c r="U161" s="1091">
        <f t="shared" si="106"/>
        <v>0.64993605876713267</v>
      </c>
      <c r="V161" s="1494">
        <f t="shared" si="97"/>
        <v>60925.230706153139</v>
      </c>
      <c r="W161" s="1491">
        <f t="shared" si="98"/>
        <v>0.33758481679476227</v>
      </c>
      <c r="X161" s="527">
        <f t="shared" si="107"/>
        <v>22650.218174049241</v>
      </c>
      <c r="Y161" s="1509">
        <f t="shared" si="108"/>
        <v>8253.5703848207249</v>
      </c>
      <c r="Z161" s="528">
        <f t="shared" si="109"/>
        <v>4573.4101876873783</v>
      </c>
      <c r="AA161" s="528">
        <f t="shared" si="110"/>
        <v>0</v>
      </c>
      <c r="AB161" s="528">
        <f t="shared" si="111"/>
        <v>25448.031959595799</v>
      </c>
      <c r="AC161" s="528">
        <f t="shared" si="112"/>
        <v>60925.230706153139</v>
      </c>
      <c r="AD161" s="1487">
        <f t="shared" si="113"/>
        <v>0</v>
      </c>
      <c r="AE161" s="1504">
        <f t="shared" si="114"/>
        <v>0.37177074114487818</v>
      </c>
      <c r="AF161" s="1504">
        <f t="shared" si="115"/>
        <v>0.13547048224779484</v>
      </c>
      <c r="AG161" s="1504">
        <f t="shared" si="116"/>
        <v>7.506594779665704E-2</v>
      </c>
      <c r="AH161" s="1504">
        <f t="shared" si="129"/>
        <v>0</v>
      </c>
      <c r="AI161" s="1504">
        <f t="shared" si="117"/>
        <v>0.41769282881066999</v>
      </c>
      <c r="AJ161" s="1541">
        <f t="shared" si="118"/>
        <v>1.0000000000000002</v>
      </c>
      <c r="AK161" s="1555">
        <f t="shared" si="119"/>
        <v>5926.7420235332393</v>
      </c>
      <c r="AL161" s="1498">
        <f t="shared" si="120"/>
        <v>15799.74792751617</v>
      </c>
      <c r="AM161" s="1498">
        <f t="shared" si="121"/>
        <v>923.72822299983204</v>
      </c>
      <c r="AN161" s="1498">
        <f t="shared" si="122"/>
        <v>22650.218174049238</v>
      </c>
      <c r="AO161" s="1563">
        <f t="shared" si="123"/>
        <v>0</v>
      </c>
    </row>
    <row r="162" spans="1:41">
      <c r="A162" s="873">
        <f>'Input data'!A142</f>
        <v>2042</v>
      </c>
      <c r="B162" s="1551">
        <f>'Input data'!B142</f>
        <v>72.264673338395411</v>
      </c>
      <c r="C162" s="1550">
        <f>'Input data'!C142</f>
        <v>7212.2527913428794</v>
      </c>
      <c r="D162" s="1550">
        <f>'Input data'!D142</f>
        <v>5865888.0813916186</v>
      </c>
      <c r="E162" s="1508">
        <f>'Input data'!J142*C162</f>
        <v>86770.942404757225</v>
      </c>
      <c r="F162" s="1509">
        <f>'Input data'!L142</f>
        <v>92636.830486148843</v>
      </c>
      <c r="G162" s="1509">
        <f t="shared" ref="G162:G169" si="134">$G$160*(1+((($G$170/$G$160)^(1/($A$170-$A$160)))-1))^(A162-$A$160)</f>
        <v>21417.490590039302</v>
      </c>
      <c r="H162" s="1509">
        <f t="shared" si="125"/>
        <v>33877.14988344413</v>
      </c>
      <c r="I162" s="1511">
        <f t="shared" si="99"/>
        <v>5865.8880813916185</v>
      </c>
      <c r="J162" s="1504">
        <f t="shared" si="132"/>
        <v>0.2</v>
      </c>
      <c r="K162" s="1512">
        <f t="shared" si="126"/>
        <v>812.14547001633173</v>
      </c>
      <c r="L162" s="1512">
        <f t="shared" si="101"/>
        <v>0</v>
      </c>
      <c r="M162" s="1509">
        <f t="shared" si="127"/>
        <v>812.14547001633173</v>
      </c>
      <c r="N162" s="1454">
        <f t="shared" si="131"/>
        <v>0.5</v>
      </c>
      <c r="O162" s="1511">
        <f t="shared" si="102"/>
        <v>751.91700000000026</v>
      </c>
      <c r="P162" s="1689">
        <f t="shared" si="130"/>
        <v>1564.0624700163321</v>
      </c>
      <c r="Q162" s="1364">
        <f t="shared" si="103"/>
        <v>53730.578003467097</v>
      </c>
      <c r="R162" s="1364">
        <f t="shared" si="128"/>
        <v>32313.087413427795</v>
      </c>
      <c r="S162" s="1091">
        <f t="shared" si="104"/>
        <v>0.65894152897564073</v>
      </c>
      <c r="T162" s="135" t="str">
        <f t="shared" si="105"/>
        <v>Yes</v>
      </c>
      <c r="U162" s="1091">
        <f t="shared" si="106"/>
        <v>0.65894152897564073</v>
      </c>
      <c r="V162" s="1494">
        <f t="shared" si="97"/>
        <v>60323.743072721059</v>
      </c>
      <c r="W162" s="1491">
        <f t="shared" si="98"/>
        <v>0.34881469113150709</v>
      </c>
      <c r="X162" s="527">
        <f t="shared" si="107"/>
        <v>21417.490590039302</v>
      </c>
      <c r="Y162" s="1509">
        <f t="shared" si="108"/>
        <v>8121.633394753756</v>
      </c>
      <c r="Z162" s="528">
        <f t="shared" si="109"/>
        <v>4673.052237396033</v>
      </c>
      <c r="AA162" s="528">
        <f t="shared" si="110"/>
        <v>0</v>
      </c>
      <c r="AB162" s="528">
        <f t="shared" si="111"/>
        <v>26111.566850531974</v>
      </c>
      <c r="AC162" s="528">
        <f t="shared" si="112"/>
        <v>60323.743072721059</v>
      </c>
      <c r="AD162" s="1487">
        <f t="shared" si="113"/>
        <v>0</v>
      </c>
      <c r="AE162" s="1504">
        <f t="shared" si="114"/>
        <v>0.35504246751101365</v>
      </c>
      <c r="AF162" s="1504">
        <f t="shared" si="115"/>
        <v>0.13463410891069907</v>
      </c>
      <c r="AG162" s="1504">
        <f t="shared" si="116"/>
        <v>7.7466218098611817E-2</v>
      </c>
      <c r="AH162" s="1504">
        <f t="shared" si="129"/>
        <v>0</v>
      </c>
      <c r="AI162" s="1504">
        <f t="shared" si="117"/>
        <v>0.43285720547967554</v>
      </c>
      <c r="AJ162" s="1541">
        <f t="shared" si="118"/>
        <v>1</v>
      </c>
      <c r="AK162" s="1555">
        <f t="shared" si="119"/>
        <v>4692.710465113294</v>
      </c>
      <c r="AL162" s="1498">
        <f t="shared" si="120"/>
        <v>15794.662570400593</v>
      </c>
      <c r="AM162" s="1498">
        <f t="shared" si="121"/>
        <v>930.11755452541024</v>
      </c>
      <c r="AN162" s="1498">
        <f t="shared" si="122"/>
        <v>21417.490590039299</v>
      </c>
      <c r="AO162" s="1563">
        <f t="shared" si="123"/>
        <v>0</v>
      </c>
    </row>
    <row r="163" spans="1:41">
      <c r="A163" s="873">
        <f>'Input data'!A143</f>
        <v>2043</v>
      </c>
      <c r="B163" s="1551">
        <f>'Input data'!B143</f>
        <v>72.713504131197794</v>
      </c>
      <c r="C163" s="1550">
        <f>'Input data'!C143</f>
        <v>7399.5467373897327</v>
      </c>
      <c r="D163" s="1550">
        <f>'Input data'!D143</f>
        <v>4323348.6333666872</v>
      </c>
      <c r="E163" s="1508">
        <f>'Input data'!J143*C163</f>
        <v>89024.284415272807</v>
      </c>
      <c r="F163" s="1509">
        <f>'Input data'!L143</f>
        <v>93347.633048639487</v>
      </c>
      <c r="G163" s="1509">
        <f t="shared" si="134"/>
        <v>20251.853631148377</v>
      </c>
      <c r="H163" s="1509">
        <f t="shared" si="125"/>
        <v>34888.170897871794</v>
      </c>
      <c r="I163" s="1511">
        <f t="shared" si="99"/>
        <v>4323.348633366687</v>
      </c>
      <c r="J163" s="1504">
        <f t="shared" si="132"/>
        <v>0.2</v>
      </c>
      <c r="K163" s="1512">
        <f t="shared" si="126"/>
        <v>598.57739513111574</v>
      </c>
      <c r="L163" s="1512">
        <f t="shared" si="101"/>
        <v>0</v>
      </c>
      <c r="M163" s="1509">
        <f t="shared" si="127"/>
        <v>598.57739513111574</v>
      </c>
      <c r="N163" s="1454">
        <f t="shared" si="131"/>
        <v>0.5</v>
      </c>
      <c r="O163" s="1511">
        <f t="shared" si="102"/>
        <v>751.91700000000026</v>
      </c>
      <c r="P163" s="1689">
        <f t="shared" si="130"/>
        <v>1350.4943951311161</v>
      </c>
      <c r="Q163" s="1364">
        <f t="shared" si="103"/>
        <v>53789.530133889057</v>
      </c>
      <c r="R163" s="1364">
        <f t="shared" si="128"/>
        <v>33537.67650274068</v>
      </c>
      <c r="S163" s="1091">
        <f t="shared" si="104"/>
        <v>0.66634431337849054</v>
      </c>
      <c r="T163" s="135" t="str">
        <f t="shared" si="105"/>
        <v>Yes</v>
      </c>
      <c r="U163" s="1091">
        <f t="shared" si="106"/>
        <v>0.66634431337849054</v>
      </c>
      <c r="V163" s="1494">
        <f t="shared" si="97"/>
        <v>59809.956545898822</v>
      </c>
      <c r="W163" s="1491">
        <f t="shared" si="98"/>
        <v>0.35927720293952825</v>
      </c>
      <c r="X163" s="527">
        <f t="shared" si="107"/>
        <v>20251.853631148373</v>
      </c>
      <c r="Y163" s="1509">
        <f t="shared" si="108"/>
        <v>7993.5689448524972</v>
      </c>
      <c r="Z163" s="528">
        <f t="shared" si="109"/>
        <v>4774.8796293139649</v>
      </c>
      <c r="AA163" s="528">
        <f t="shared" si="110"/>
        <v>0</v>
      </c>
      <c r="AB163" s="528">
        <f t="shared" si="111"/>
        <v>26789.654340583988</v>
      </c>
      <c r="AC163" s="528">
        <f t="shared" si="112"/>
        <v>59809.956545898822</v>
      </c>
      <c r="AD163" s="1487">
        <f t="shared" si="113"/>
        <v>0</v>
      </c>
      <c r="AE163" s="1504">
        <f t="shared" si="114"/>
        <v>0.33860338312747101</v>
      </c>
      <c r="AF163" s="1504">
        <f t="shared" si="115"/>
        <v>0.13364946919361401</v>
      </c>
      <c r="AG163" s="1504">
        <f t="shared" si="116"/>
        <v>7.9834193252584451E-2</v>
      </c>
      <c r="AH163" s="1504">
        <f t="shared" si="129"/>
        <v>0</v>
      </c>
      <c r="AI163" s="1504">
        <f t="shared" si="117"/>
        <v>0.4479129544263305</v>
      </c>
      <c r="AJ163" s="1541">
        <f t="shared" si="118"/>
        <v>1</v>
      </c>
      <c r="AK163" s="1555">
        <f t="shared" si="119"/>
        <v>3458.6789066933497</v>
      </c>
      <c r="AL163" s="1498">
        <f t="shared" si="120"/>
        <v>15853.100754500385</v>
      </c>
      <c r="AM163" s="1498">
        <f t="shared" si="121"/>
        <v>940.07396995463841</v>
      </c>
      <c r="AN163" s="1498">
        <f t="shared" si="122"/>
        <v>20251.853631148373</v>
      </c>
      <c r="AO163" s="1563">
        <f t="shared" si="123"/>
        <v>0</v>
      </c>
    </row>
    <row r="164" spans="1:41">
      <c r="A164" s="873">
        <f>'Input data'!A144</f>
        <v>2044</v>
      </c>
      <c r="B164" s="1551">
        <f>'Input data'!B144</f>
        <v>73.165122580420132</v>
      </c>
      <c r="C164" s="1550">
        <f>'Input data'!C144</f>
        <v>7593.410855692503</v>
      </c>
      <c r="D164" s="1550">
        <f>'Input data'!D144</f>
        <v>2780809.1853417563</v>
      </c>
      <c r="E164" s="1508">
        <f>'Input data'!J144*C164</f>
        <v>91356.672467975353</v>
      </c>
      <c r="F164" s="1509">
        <f>'Input data'!L144</f>
        <v>94137.481653317111</v>
      </c>
      <c r="G164" s="1509">
        <f t="shared" si="134"/>
        <v>19149.655921324487</v>
      </c>
      <c r="H164" s="1509">
        <f t="shared" si="125"/>
        <v>35881.109845026542</v>
      </c>
      <c r="I164" s="1511">
        <f t="shared" si="99"/>
        <v>2780.8091853417563</v>
      </c>
      <c r="J164" s="1504">
        <f t="shared" si="132"/>
        <v>0.2</v>
      </c>
      <c r="K164" s="1512">
        <f t="shared" si="126"/>
        <v>385.00932024589986</v>
      </c>
      <c r="L164" s="1512">
        <f t="shared" si="101"/>
        <v>0</v>
      </c>
      <c r="M164" s="1509">
        <f t="shared" si="127"/>
        <v>385.00932024589986</v>
      </c>
      <c r="N164" s="1454">
        <f t="shared" si="131"/>
        <v>0.5</v>
      </c>
      <c r="O164" s="1511">
        <f t="shared" si="102"/>
        <v>751.91700000000026</v>
      </c>
      <c r="P164" s="1689">
        <f t="shared" si="130"/>
        <v>1136.9263202459001</v>
      </c>
      <c r="Q164" s="1364">
        <f t="shared" si="103"/>
        <v>53893.839446105128</v>
      </c>
      <c r="R164" s="1364">
        <f t="shared" si="128"/>
        <v>34744.183524780645</v>
      </c>
      <c r="S164" s="1091">
        <f t="shared" si="104"/>
        <v>0.67243520005103141</v>
      </c>
      <c r="T164" s="135" t="str">
        <f t="shared" si="105"/>
        <v>Yes</v>
      </c>
      <c r="U164" s="1091">
        <f t="shared" si="106"/>
        <v>0.67243520005103141</v>
      </c>
      <c r="V164" s="1494">
        <f>AC164</f>
        <v>59393.298128536473</v>
      </c>
      <c r="W164" s="1491">
        <f t="shared" si="98"/>
        <v>0.36907916925942497</v>
      </c>
      <c r="X164" s="527">
        <f t="shared" si="107"/>
        <v>19149.65592132448</v>
      </c>
      <c r="Y164" s="1509">
        <f t="shared" si="108"/>
        <v>7871.8343550792715</v>
      </c>
      <c r="Z164" s="528">
        <f t="shared" si="109"/>
        <v>4880.2790721144393</v>
      </c>
      <c r="AA164" s="528">
        <f t="shared" si="110"/>
        <v>0</v>
      </c>
      <c r="AB164" s="528">
        <f t="shared" si="111"/>
        <v>27491.528780018285</v>
      </c>
      <c r="AC164" s="528">
        <f t="shared" si="112"/>
        <v>59393.298128536473</v>
      </c>
      <c r="AD164" s="1487">
        <f t="shared" si="113"/>
        <v>0</v>
      </c>
      <c r="AE164" s="1504">
        <f t="shared" si="114"/>
        <v>0.32242115734811699</v>
      </c>
      <c r="AF164" s="1504">
        <f t="shared" si="115"/>
        <v>0.13253741757265911</v>
      </c>
      <c r="AG164" s="1504">
        <f t="shared" si="116"/>
        <v>8.2168851131195722E-2</v>
      </c>
      <c r="AH164" s="1504">
        <f t="shared" si="129"/>
        <v>0</v>
      </c>
      <c r="AI164" s="1504">
        <f t="shared" si="117"/>
        <v>0.46287257394802822</v>
      </c>
      <c r="AJ164" s="1541">
        <f t="shared" si="118"/>
        <v>1</v>
      </c>
      <c r="AK164" s="1555">
        <f t="shared" si="119"/>
        <v>2224.6473482734054</v>
      </c>
      <c r="AL164" s="1498">
        <f t="shared" si="120"/>
        <v>15971.462873670447</v>
      </c>
      <c r="AM164" s="1498">
        <f t="shared" si="121"/>
        <v>953.54569938062718</v>
      </c>
      <c r="AN164" s="1498">
        <f t="shared" si="122"/>
        <v>19149.65592132448</v>
      </c>
      <c r="AO164" s="1563">
        <f t="shared" si="123"/>
        <v>0</v>
      </c>
    </row>
    <row r="165" spans="1:41">
      <c r="A165" s="873">
        <f>'Input data'!A145</f>
        <v>2045</v>
      </c>
      <c r="B165" s="1551">
        <f>'Input data'!B145</f>
        <v>73.619545999999971</v>
      </c>
      <c r="C165" s="1550">
        <f>'Input data'!C145</f>
        <v>7794.8943128616638</v>
      </c>
      <c r="D165" s="1550">
        <f>'Input data'!D145</f>
        <v>1238269.7373168254</v>
      </c>
      <c r="E165" s="1508">
        <f>'Input data'!J145*C165</f>
        <v>93780.729134225592</v>
      </c>
      <c r="F165" s="1509">
        <f>'Input data'!L145</f>
        <v>95018.998871542412</v>
      </c>
      <c r="G165" s="1509">
        <f t="shared" si="134"/>
        <v>18107.444808958157</v>
      </c>
      <c r="H165" s="1509">
        <f t="shared" si="125"/>
        <v>36866.662297834038</v>
      </c>
      <c r="I165" s="1511">
        <f t="shared" si="99"/>
        <v>1238.2697373168255</v>
      </c>
      <c r="J165" s="1504">
        <f t="shared" si="132"/>
        <v>0.2</v>
      </c>
      <c r="K165" s="1512">
        <f t="shared" si="126"/>
        <v>171.44124536068409</v>
      </c>
      <c r="L165" s="1512">
        <f t="shared" si="101"/>
        <v>0</v>
      </c>
      <c r="M165" s="1509">
        <f t="shared" si="127"/>
        <v>171.44124536068409</v>
      </c>
      <c r="N165" s="1454">
        <f t="shared" si="131"/>
        <v>0.5</v>
      </c>
      <c r="O165" s="1511">
        <f t="shared" si="102"/>
        <v>751.91700000000026</v>
      </c>
      <c r="P165" s="1689">
        <f t="shared" si="130"/>
        <v>923.35824536068435</v>
      </c>
      <c r="Q165" s="1364">
        <f t="shared" si="103"/>
        <v>54050.748861431508</v>
      </c>
      <c r="R165" s="1364">
        <f t="shared" si="128"/>
        <v>35943.304052473351</v>
      </c>
      <c r="S165" s="1091">
        <f t="shared" si="104"/>
        <v>0.67740697152014073</v>
      </c>
      <c r="T165" s="135" t="str">
        <f t="shared" si="105"/>
        <v>Yes</v>
      </c>
      <c r="U165" s="1091">
        <f t="shared" si="106"/>
        <v>0.67740697152014073</v>
      </c>
      <c r="V165" s="1494">
        <f t="shared" si="97"/>
        <v>59075.694819069082</v>
      </c>
      <c r="W165" s="1491">
        <f t="shared" si="98"/>
        <v>0.37827491848304584</v>
      </c>
      <c r="X165" s="527">
        <f t="shared" si="107"/>
        <v>18107.444808958164</v>
      </c>
      <c r="Y165" s="1509">
        <f t="shared" si="108"/>
        <v>7757.4404174858864</v>
      </c>
      <c r="Z165" s="528">
        <f t="shared" si="109"/>
        <v>4989.8209734474995</v>
      </c>
      <c r="AA165" s="528">
        <f t="shared" si="110"/>
        <v>0</v>
      </c>
      <c r="AB165" s="528">
        <f t="shared" si="111"/>
        <v>28220.988619177533</v>
      </c>
      <c r="AC165" s="528">
        <f t="shared" si="112"/>
        <v>59075.694819069082</v>
      </c>
      <c r="AD165" s="1487">
        <f t="shared" si="113"/>
        <v>0</v>
      </c>
      <c r="AE165" s="1504">
        <f t="shared" si="114"/>
        <v>0.30651259988419555</v>
      </c>
      <c r="AF165" s="1504">
        <f t="shared" si="115"/>
        <v>0.13131357051736034</v>
      </c>
      <c r="AG165" s="1504">
        <f t="shared" si="116"/>
        <v>8.446487153015815E-2</v>
      </c>
      <c r="AH165" s="1504">
        <f t="shared" si="129"/>
        <v>0</v>
      </c>
      <c r="AI165" s="1504">
        <f t="shared" si="117"/>
        <v>0.477708958068286</v>
      </c>
      <c r="AJ165" s="1541">
        <f t="shared" si="118"/>
        <v>1</v>
      </c>
      <c r="AK165" s="1555">
        <f t="shared" si="119"/>
        <v>990.61578985346034</v>
      </c>
      <c r="AL165" s="1498">
        <f t="shared" si="120"/>
        <v>16146.402703113739</v>
      </c>
      <c r="AM165" s="1498">
        <f t="shared" si="121"/>
        <v>970.42631599095796</v>
      </c>
      <c r="AN165" s="1498">
        <f t="shared" si="122"/>
        <v>18107.444808958157</v>
      </c>
      <c r="AO165" s="1563">
        <f t="shared" si="123"/>
        <v>0</v>
      </c>
    </row>
    <row r="166" spans="1:41">
      <c r="A166" s="873">
        <f>'Input data'!A146</f>
        <v>2046</v>
      </c>
      <c r="B166" s="1551">
        <f>'Input data'!B146</f>
        <v>73.995362001779526</v>
      </c>
      <c r="C166" s="1550">
        <f>'Input data'!C146</f>
        <v>8018.9246673642956</v>
      </c>
      <c r="D166" s="1550">
        <f>'Input data'!D146</f>
        <v>1037510.1997812246</v>
      </c>
      <c r="E166" s="1508">
        <f>'Input data'!J146*C166</f>
        <v>96476.048551037893</v>
      </c>
      <c r="F166" s="1509">
        <f>'Input data'!L146</f>
        <v>97513.558750819124</v>
      </c>
      <c r="G166" s="1509">
        <f t="shared" si="134"/>
        <v>17121.955551397077</v>
      </c>
      <c r="H166" s="1509">
        <f t="shared" si="125"/>
        <v>39210.341784735196</v>
      </c>
      <c r="I166" s="1511">
        <f t="shared" si="99"/>
        <v>1037.5101997812246</v>
      </c>
      <c r="J166" s="1504">
        <f t="shared" si="132"/>
        <v>0.2</v>
      </c>
      <c r="K166" s="1512">
        <f t="shared" si="126"/>
        <v>143.64563339029152</v>
      </c>
      <c r="L166" s="1512">
        <f t="shared" si="101"/>
        <v>0</v>
      </c>
      <c r="M166" s="1509">
        <f t="shared" si="127"/>
        <v>143.64563339029152</v>
      </c>
      <c r="N166" s="1454">
        <f t="shared" si="131"/>
        <v>0.5</v>
      </c>
      <c r="O166" s="1511">
        <f t="shared" si="102"/>
        <v>751.91700000000026</v>
      </c>
      <c r="P166" s="1689">
        <f t="shared" si="130"/>
        <v>895.56263339029181</v>
      </c>
      <c r="Q166" s="1364">
        <f t="shared" si="103"/>
        <v>55436.734702741982</v>
      </c>
      <c r="R166" s="1364">
        <f t="shared" si="128"/>
        <v>38314.779151344905</v>
      </c>
      <c r="S166" s="1091">
        <f t="shared" si="104"/>
        <v>0.70164944095728232</v>
      </c>
      <c r="T166" s="135" t="str">
        <f t="shared" si="105"/>
        <v>Yes</v>
      </c>
      <c r="U166" s="1091">
        <f t="shared" si="106"/>
        <v>0.70164944095728232</v>
      </c>
      <c r="V166" s="1494">
        <f t="shared" si="97"/>
        <v>59198.779599474226</v>
      </c>
      <c r="W166" s="1491">
        <f t="shared" si="98"/>
        <v>0.39291745314364346</v>
      </c>
      <c r="X166" s="527">
        <f t="shared" si="107"/>
        <v>17121.955551397077</v>
      </c>
      <c r="Y166" s="1509">
        <f t="shared" si="108"/>
        <v>7933.1246788338321</v>
      </c>
      <c r="Z166" s="528">
        <f t="shared" si="109"/>
        <v>5111.6211020205074</v>
      </c>
      <c r="AA166" s="528">
        <f t="shared" si="110"/>
        <v>0</v>
      </c>
      <c r="AB166" s="528">
        <f t="shared" si="111"/>
        <v>29032.078267222809</v>
      </c>
      <c r="AC166" s="528">
        <f t="shared" si="112"/>
        <v>59198.779599474226</v>
      </c>
      <c r="AD166" s="1487">
        <f t="shared" si="113"/>
        <v>0</v>
      </c>
      <c r="AE166" s="1504">
        <f t="shared" si="114"/>
        <v>0.28922818455448607</v>
      </c>
      <c r="AF166" s="1504">
        <f t="shared" si="115"/>
        <v>0.13400824700285358</v>
      </c>
      <c r="AG166" s="1504">
        <f t="shared" si="116"/>
        <v>8.6346731074603209E-2</v>
      </c>
      <c r="AH166" s="1504">
        <f t="shared" si="129"/>
        <v>0</v>
      </c>
      <c r="AI166" s="1504">
        <f t="shared" si="117"/>
        <v>0.49041683736805713</v>
      </c>
      <c r="AJ166" s="1541">
        <f t="shared" si="118"/>
        <v>1</v>
      </c>
      <c r="AK166" s="1555">
        <f t="shared" si="119"/>
        <v>830.00815982497966</v>
      </c>
      <c r="AL166" s="1498">
        <f t="shared" si="120"/>
        <v>15362.205154202591</v>
      </c>
      <c r="AM166" s="1498">
        <f t="shared" si="121"/>
        <v>929.74223736950535</v>
      </c>
      <c r="AN166" s="1498">
        <f t="shared" si="122"/>
        <v>17121.955551397077</v>
      </c>
      <c r="AO166" s="1563">
        <f t="shared" si="123"/>
        <v>0</v>
      </c>
    </row>
    <row r="167" spans="1:41">
      <c r="A167" s="873">
        <f>'Input data'!A147</f>
        <v>2047</v>
      </c>
      <c r="B167" s="1551">
        <f>'Input data'!B147</f>
        <v>74.373096484110363</v>
      </c>
      <c r="C167" s="1550">
        <f>'Input data'!C147</f>
        <v>8179.7504647675678</v>
      </c>
      <c r="D167" s="1550">
        <f>'Input data'!D147</f>
        <v>836750.66224562365</v>
      </c>
      <c r="E167" s="1508">
        <f>'Input data'!J147*C167</f>
        <v>98410.951057565282</v>
      </c>
      <c r="F167" s="1509">
        <f>'Input data'!L147</f>
        <v>99247.70171981091</v>
      </c>
      <c r="G167" s="1509">
        <f t="shared" si="134"/>
        <v>16190.101088088571</v>
      </c>
      <c r="H167" s="1509">
        <f t="shared" si="125"/>
        <v>41064.053840292006</v>
      </c>
      <c r="I167" s="1511">
        <f t="shared" si="99"/>
        <v>836.75066224562363</v>
      </c>
      <c r="J167" s="1504">
        <f t="shared" si="132"/>
        <v>0.2</v>
      </c>
      <c r="K167" s="1512">
        <f t="shared" si="126"/>
        <v>115.85002141989894</v>
      </c>
      <c r="L167" s="1512">
        <f t="shared" si="101"/>
        <v>0</v>
      </c>
      <c r="M167" s="1509">
        <f t="shared" si="127"/>
        <v>115.85002141989894</v>
      </c>
      <c r="N167" s="1454">
        <f t="shared" si="131"/>
        <v>0.5</v>
      </c>
      <c r="O167" s="1511">
        <f t="shared" si="102"/>
        <v>751.91700000000026</v>
      </c>
      <c r="P167" s="1689">
        <f t="shared" si="130"/>
        <v>867.76702141989915</v>
      </c>
      <c r="Q167" s="1364">
        <f t="shared" si="103"/>
        <v>56386.387906960677</v>
      </c>
      <c r="R167" s="1364">
        <f t="shared" si="128"/>
        <v>40196.286818872104</v>
      </c>
      <c r="S167" s="1091">
        <f t="shared" si="104"/>
        <v>0.72143683122656965</v>
      </c>
      <c r="T167" s="135" t="str">
        <f t="shared" si="105"/>
        <v>Yes</v>
      </c>
      <c r="U167" s="1091">
        <f t="shared" si="106"/>
        <v>0.72143683122656965</v>
      </c>
      <c r="V167" s="1494">
        <f t="shared" si="97"/>
        <v>59051.414900938813</v>
      </c>
      <c r="W167" s="1491">
        <f t="shared" si="98"/>
        <v>0.40500974956932922</v>
      </c>
      <c r="X167" s="527">
        <f t="shared" si="107"/>
        <v>16190.101088088573</v>
      </c>
      <c r="Y167" s="1509">
        <f t="shared" si="108"/>
        <v>8047.9161674644693</v>
      </c>
      <c r="Z167" s="528">
        <f t="shared" si="109"/>
        <v>5199.0583729432956</v>
      </c>
      <c r="AA167" s="528">
        <f t="shared" si="110"/>
        <v>0</v>
      </c>
      <c r="AB167" s="528">
        <f t="shared" si="111"/>
        <v>29614.339272442474</v>
      </c>
      <c r="AC167" s="528">
        <f t="shared" si="112"/>
        <v>59051.414900938813</v>
      </c>
      <c r="AD167" s="1487">
        <f t="shared" si="113"/>
        <v>0</v>
      </c>
      <c r="AE167" s="1504">
        <f t="shared" si="114"/>
        <v>0.27416957096198519</v>
      </c>
      <c r="AF167" s="1504">
        <f t="shared" si="115"/>
        <v>0.13628659331813101</v>
      </c>
      <c r="AG167" s="1504">
        <f t="shared" si="116"/>
        <v>8.8042909414870599E-2</v>
      </c>
      <c r="AH167" s="1504">
        <f t="shared" si="129"/>
        <v>0</v>
      </c>
      <c r="AI167" s="1504">
        <f t="shared" si="117"/>
        <v>0.50150092630501319</v>
      </c>
      <c r="AJ167" s="1541">
        <f t="shared" si="118"/>
        <v>1</v>
      </c>
      <c r="AK167" s="1555">
        <f t="shared" si="119"/>
        <v>669.40052979649897</v>
      </c>
      <c r="AL167" s="1498">
        <f t="shared" si="120"/>
        <v>14631.010440845477</v>
      </c>
      <c r="AM167" s="1498">
        <f t="shared" si="121"/>
        <v>889.69011744659417</v>
      </c>
      <c r="AN167" s="1498">
        <f t="shared" si="122"/>
        <v>16190.101088088571</v>
      </c>
      <c r="AO167" s="1563">
        <f t="shared" si="123"/>
        <v>0</v>
      </c>
    </row>
    <row r="168" spans="1:41">
      <c r="A168" s="873">
        <f>'Input data'!A148</f>
        <v>2048</v>
      </c>
      <c r="B168" s="1551">
        <f>'Input data'!B148</f>
        <v>74.752759240528661</v>
      </c>
      <c r="C168" s="1550">
        <f>'Input data'!C148</f>
        <v>8346.3110427603078</v>
      </c>
      <c r="D168" s="1550">
        <f>'Input data'!D148</f>
        <v>635991.12471002259</v>
      </c>
      <c r="E168" s="1508">
        <f>'Input data'!J148*C168</f>
        <v>100414.84897102432</v>
      </c>
      <c r="F168" s="1509">
        <f>'Input data'!L148</f>
        <v>101050.84009573434</v>
      </c>
      <c r="G168" s="1509">
        <f t="shared" si="134"/>
        <v>15308.962370313993</v>
      </c>
      <c r="H168" s="1509">
        <f t="shared" si="125"/>
        <v>42906.640206041586</v>
      </c>
      <c r="I168" s="1511">
        <f t="shared" si="99"/>
        <v>635.99112471002263</v>
      </c>
      <c r="J168" s="417">
        <f t="shared" si="132"/>
        <v>0.2</v>
      </c>
      <c r="K168" s="1512">
        <f t="shared" si="126"/>
        <v>88.054409449506338</v>
      </c>
      <c r="L168" s="1512">
        <f t="shared" si="101"/>
        <v>0</v>
      </c>
      <c r="M168" s="1509">
        <f t="shared" si="127"/>
        <v>88.054409449506338</v>
      </c>
      <c r="N168" s="1454">
        <f t="shared" si="131"/>
        <v>0.5</v>
      </c>
      <c r="O168" s="1511">
        <f t="shared" si="102"/>
        <v>751.91700000000026</v>
      </c>
      <c r="P168" s="1689">
        <f t="shared" si="130"/>
        <v>839.97140944950661</v>
      </c>
      <c r="Q168" s="1364">
        <f t="shared" si="103"/>
        <v>57375.631166906074</v>
      </c>
      <c r="R168" s="1364">
        <f t="shared" si="128"/>
        <v>42066.668796592079</v>
      </c>
      <c r="S168" s="1091">
        <f t="shared" si="104"/>
        <v>0.73973989197323409</v>
      </c>
      <c r="T168" s="135" t="str">
        <f t="shared" si="105"/>
        <v>Yes</v>
      </c>
      <c r="U168" s="1091">
        <f t="shared" si="106"/>
        <v>0.73973989197323409</v>
      </c>
      <c r="V168" s="1494">
        <f t="shared" si="97"/>
        <v>58984.171299142268</v>
      </c>
      <c r="W168" s="1491">
        <f t="shared" si="98"/>
        <v>0.41629212341766397</v>
      </c>
      <c r="X168" s="527">
        <f t="shared" si="107"/>
        <v>15308.962370313993</v>
      </c>
      <c r="Y168" s="1509">
        <f t="shared" si="108"/>
        <v>8168.2326800339515</v>
      </c>
      <c r="Z168" s="528">
        <f t="shared" si="109"/>
        <v>5289.613511597383</v>
      </c>
      <c r="AA168" s="528">
        <f t="shared" si="110"/>
        <v>0</v>
      </c>
      <c r="AB168" s="528">
        <f t="shared" si="111"/>
        <v>30217.362737196945</v>
      </c>
      <c r="AC168" s="528">
        <f t="shared" si="112"/>
        <v>58984.171299142268</v>
      </c>
      <c r="AD168" s="1487">
        <f t="shared" si="113"/>
        <v>0</v>
      </c>
      <c r="AE168" s="1504">
        <f t="shared" si="114"/>
        <v>0.25954356962435804</v>
      </c>
      <c r="AF168" s="1504">
        <f t="shared" si="115"/>
        <v>0.13848177401032219</v>
      </c>
      <c r="AG168" s="1504">
        <f t="shared" si="116"/>
        <v>8.9678525527988606E-2</v>
      </c>
      <c r="AH168" s="1504">
        <f t="shared" si="129"/>
        <v>0</v>
      </c>
      <c r="AI168" s="1504">
        <f t="shared" si="117"/>
        <v>0.51229613083733128</v>
      </c>
      <c r="AJ168" s="1541">
        <f t="shared" si="118"/>
        <v>1</v>
      </c>
      <c r="AK168" s="1555">
        <f t="shared" si="119"/>
        <v>508.79289976801806</v>
      </c>
      <c r="AL168" s="1498">
        <f t="shared" si="120"/>
        <v>13948.025810057794</v>
      </c>
      <c r="AM168" s="1498">
        <f t="shared" si="121"/>
        <v>852.14366048817851</v>
      </c>
      <c r="AN168" s="1498">
        <f t="shared" si="122"/>
        <v>15308.96237031399</v>
      </c>
      <c r="AO168" s="1563">
        <f t="shared" si="123"/>
        <v>0</v>
      </c>
    </row>
    <row r="169" spans="1:41">
      <c r="A169" s="873">
        <f>'Input data'!A149</f>
        <v>2049</v>
      </c>
      <c r="B169" s="1551">
        <f>'Input data'!B149</f>
        <v>75.134360114565098</v>
      </c>
      <c r="C169" s="1550">
        <f>'Input data'!C149</f>
        <v>8507.9647859669603</v>
      </c>
      <c r="D169" s="1550">
        <f>'Input data'!D149</f>
        <v>435231.58717442153</v>
      </c>
      <c r="E169" s="1508">
        <f>'Input data'!J149*C169</f>
        <v>102359.71253128871</v>
      </c>
      <c r="F169" s="1509">
        <f>'Input data'!L149</f>
        <v>102794.94411846313</v>
      </c>
      <c r="G169" s="1509">
        <f t="shared" si="134"/>
        <v>14475.779217222871</v>
      </c>
      <c r="H169" s="1509">
        <f t="shared" si="125"/>
        <v>44667.396674935415</v>
      </c>
      <c r="I169" s="1511">
        <f t="shared" si="99"/>
        <v>435.23158717442152</v>
      </c>
      <c r="J169" s="417">
        <f t="shared" si="132"/>
        <v>0.2</v>
      </c>
      <c r="K169" s="1512">
        <f t="shared" si="126"/>
        <v>60.258797479113753</v>
      </c>
      <c r="L169" s="1512">
        <f t="shared" si="101"/>
        <v>0</v>
      </c>
      <c r="M169" s="1509">
        <f t="shared" si="127"/>
        <v>60.258797479113753</v>
      </c>
      <c r="N169" s="1454">
        <f t="shared" si="131"/>
        <v>0.5</v>
      </c>
      <c r="O169" s="1511">
        <f t="shared" si="102"/>
        <v>751.91700000000026</v>
      </c>
      <c r="P169" s="1689">
        <f t="shared" si="130"/>
        <v>812.17579747911395</v>
      </c>
      <c r="Q169" s="1364">
        <f t="shared" si="103"/>
        <v>58331.000094679177</v>
      </c>
      <c r="R169" s="1364">
        <f t="shared" si="128"/>
        <v>43855.220877456304</v>
      </c>
      <c r="S169" s="1091">
        <f t="shared" si="104"/>
        <v>0.75634860104434332</v>
      </c>
      <c r="T169" s="135" t="str">
        <f t="shared" si="105"/>
        <v>Yes</v>
      </c>
      <c r="U169" s="1091">
        <f t="shared" si="106"/>
        <v>0.75634860104434332</v>
      </c>
      <c r="V169" s="1494">
        <f t="shared" si="97"/>
        <v>58939.723241006846</v>
      </c>
      <c r="W169" s="1491">
        <f t="shared" si="98"/>
        <v>0.42662818929028812</v>
      </c>
      <c r="X169" s="527">
        <f t="shared" si="107"/>
        <v>14475.779217222869</v>
      </c>
      <c r="Y169" s="1509">
        <f t="shared" si="108"/>
        <v>8283.8218313323032</v>
      </c>
      <c r="Z169" s="528">
        <f t="shared" si="109"/>
        <v>5377.5009175276673</v>
      </c>
      <c r="AA169" s="528">
        <f t="shared" si="110"/>
        <v>0</v>
      </c>
      <c r="AB169" s="528">
        <f t="shared" si="111"/>
        <v>30802.621274924004</v>
      </c>
      <c r="AC169" s="528">
        <f t="shared" si="112"/>
        <v>58939.723241006846</v>
      </c>
      <c r="AD169" s="1487">
        <f t="shared" si="113"/>
        <v>0</v>
      </c>
      <c r="AE169" s="417">
        <f t="shared" si="114"/>
        <v>0.24560310807756661</v>
      </c>
      <c r="AF169" s="417">
        <f t="shared" si="115"/>
        <v>0.14054734864396004</v>
      </c>
      <c r="AG169" s="417">
        <f t="shared" si="116"/>
        <v>9.1237295016450184E-2</v>
      </c>
      <c r="AH169" s="417">
        <f t="shared" si="129"/>
        <v>0</v>
      </c>
      <c r="AI169" s="417">
        <f t="shared" si="117"/>
        <v>0.52261224826202313</v>
      </c>
      <c r="AJ169" s="525">
        <f t="shared" si="118"/>
        <v>1</v>
      </c>
      <c r="AK169" s="1497">
        <f t="shared" si="119"/>
        <v>348.1852697395372</v>
      </c>
      <c r="AL169" s="1498">
        <f t="shared" si="120"/>
        <v>13310.830833542197</v>
      </c>
      <c r="AM169" s="1498">
        <f t="shared" si="121"/>
        <v>816.76311394113168</v>
      </c>
      <c r="AN169" s="1498">
        <f t="shared" si="122"/>
        <v>14475.779217222866</v>
      </c>
      <c r="AO169" s="1563">
        <f t="shared" si="123"/>
        <v>0</v>
      </c>
    </row>
    <row r="170" spans="1:41" ht="15.75" thickBot="1">
      <c r="A170" s="1566">
        <f>'Input data'!A150</f>
        <v>2050</v>
      </c>
      <c r="B170" s="1567">
        <f>'Input data'!B150</f>
        <v>75.517908999999989</v>
      </c>
      <c r="C170" s="1568">
        <f>'Input data'!C150</f>
        <v>8670.5902188603068</v>
      </c>
      <c r="D170" s="1568">
        <f>'Input data'!D150</f>
        <v>234472.04963882058</v>
      </c>
      <c r="E170" s="670">
        <f>'Input data'!J150*C170</f>
        <v>104316.26653450882</v>
      </c>
      <c r="F170" s="667">
        <f>'Input data'!L150</f>
        <v>104550.73858414764</v>
      </c>
      <c r="G170" s="667">
        <f>G137*(1-$C$6)</f>
        <v>13687.941669523079</v>
      </c>
      <c r="H170" s="667">
        <f t="shared" si="125"/>
        <v>46389.515597838807</v>
      </c>
      <c r="I170" s="659">
        <f t="shared" si="99"/>
        <v>234.47204963882058</v>
      </c>
      <c r="J170" s="651">
        <f t="shared" si="132"/>
        <v>0.2</v>
      </c>
      <c r="K170" s="1518">
        <f t="shared" si="126"/>
        <v>32.463185508721168</v>
      </c>
      <c r="L170" s="1518">
        <f t="shared" si="101"/>
        <v>0</v>
      </c>
      <c r="M170" s="1518">
        <f t="shared" si="127"/>
        <v>32.463185508721168</v>
      </c>
      <c r="N170" s="1522">
        <f t="shared" si="131"/>
        <v>0.5</v>
      </c>
      <c r="O170" s="1520">
        <f t="shared" si="102"/>
        <v>751.91700000000026</v>
      </c>
      <c r="P170" s="1690">
        <f t="shared" si="130"/>
        <v>784.38018550872141</v>
      </c>
      <c r="Q170" s="1485">
        <f t="shared" si="103"/>
        <v>59293.07708185316</v>
      </c>
      <c r="R170" s="1485">
        <f t="shared" si="128"/>
        <v>45605.135412330084</v>
      </c>
      <c r="S170" s="1094">
        <f t="shared" si="104"/>
        <v>0.77158869889886605</v>
      </c>
      <c r="T170" s="1105" t="str">
        <f t="shared" si="105"/>
        <v>Yes</v>
      </c>
      <c r="U170" s="1094">
        <f t="shared" si="106"/>
        <v>0.77158869889886605</v>
      </c>
      <c r="V170" s="1495">
        <f t="shared" si="97"/>
        <v>58945.603171817573</v>
      </c>
      <c r="W170" s="1492">
        <f t="shared" si="98"/>
        <v>0.43620098748154501</v>
      </c>
      <c r="X170" s="670">
        <f t="shared" si="107"/>
        <v>13687.941669523081</v>
      </c>
      <c r="Y170" s="1518">
        <f t="shared" si="108"/>
        <v>8400.3471315724237</v>
      </c>
      <c r="Z170" s="667">
        <f t="shared" si="109"/>
        <v>5465.916608694276</v>
      </c>
      <c r="AA170" s="667">
        <f t="shared" si="110"/>
        <v>0</v>
      </c>
      <c r="AB170" s="667">
        <f t="shared" si="111"/>
        <v>31391.397762027791</v>
      </c>
      <c r="AC170" s="667">
        <f t="shared" si="112"/>
        <v>58945.603171817573</v>
      </c>
      <c r="AD170" s="1488">
        <f t="shared" si="113"/>
        <v>0</v>
      </c>
      <c r="AE170" s="651">
        <f t="shared" si="114"/>
        <v>0.23221310722064864</v>
      </c>
      <c r="AF170" s="651">
        <f t="shared" si="115"/>
        <v>0.14251015647573703</v>
      </c>
      <c r="AG170" s="651">
        <f t="shared" si="116"/>
        <v>9.2728147895305285E-2</v>
      </c>
      <c r="AH170" s="651">
        <f t="shared" si="129"/>
        <v>0</v>
      </c>
      <c r="AI170" s="651">
        <f>AB170/AC170</f>
        <v>0.53254858840830899</v>
      </c>
      <c r="AJ170" s="652">
        <f t="shared" si="118"/>
        <v>0.99999999999999989</v>
      </c>
      <c r="AK170" s="1499">
        <f t="shared" si="119"/>
        <v>187.57763971105646</v>
      </c>
      <c r="AL170" s="1500">
        <f t="shared" si="120"/>
        <v>12716.770107916076</v>
      </c>
      <c r="AM170" s="1500">
        <f t="shared" si="121"/>
        <v>783.59392189594655</v>
      </c>
      <c r="AN170" s="1500">
        <f t="shared" si="122"/>
        <v>13687.941669523079</v>
      </c>
      <c r="AO170" s="1564">
        <f t="shared" si="123"/>
        <v>0</v>
      </c>
    </row>
    <row r="172" spans="1:41" ht="23.25">
      <c r="A172" s="686" t="s">
        <v>640</v>
      </c>
    </row>
    <row r="173" spans="1:41" ht="24" thickBot="1">
      <c r="A173" s="686"/>
    </row>
    <row r="174" spans="1:41" ht="21.6" customHeight="1" thickBot="1">
      <c r="A174" s="1873" t="s">
        <v>602</v>
      </c>
      <c r="B174" s="1874"/>
      <c r="C174" s="1874"/>
      <c r="D174" s="1875"/>
      <c r="E174" s="1805" t="s">
        <v>603</v>
      </c>
      <c r="F174" s="1806"/>
      <c r="G174" s="1806"/>
      <c r="H174" s="1806"/>
      <c r="I174" s="1807"/>
      <c r="J174" s="1822" t="s">
        <v>604</v>
      </c>
      <c r="K174" s="1823"/>
      <c r="L174" s="1824"/>
      <c r="M174" s="1825" t="s">
        <v>757</v>
      </c>
      <c r="N174" s="1808" t="s">
        <v>607</v>
      </c>
      <c r="O174" s="1897"/>
      <c r="P174" s="1895" t="s">
        <v>594</v>
      </c>
      <c r="Q174" s="1814" t="s">
        <v>765</v>
      </c>
      <c r="R174" s="1814" t="s">
        <v>768</v>
      </c>
      <c r="S174" s="1814" t="s">
        <v>767</v>
      </c>
      <c r="T174" s="1838" t="s">
        <v>769</v>
      </c>
      <c r="U174" s="1836" t="s">
        <v>770</v>
      </c>
      <c r="V174" s="1812" t="s">
        <v>760</v>
      </c>
      <c r="W174" s="1834" t="s">
        <v>761</v>
      </c>
      <c r="X174" s="1104" t="s">
        <v>592</v>
      </c>
      <c r="Y174" s="1097"/>
      <c r="Z174" s="1097"/>
      <c r="AA174" s="1097"/>
      <c r="AB174" s="1097"/>
      <c r="AC174" s="1097"/>
      <c r="AD174" s="1097"/>
      <c r="AE174" s="1097"/>
      <c r="AF174" s="1097"/>
      <c r="AG174" s="1097"/>
      <c r="AH174" s="1097"/>
      <c r="AI174" s="1097"/>
      <c r="AJ174" s="1097"/>
      <c r="AK174" s="1850" t="s">
        <v>723</v>
      </c>
      <c r="AL174" s="1851"/>
      <c r="AM174" s="1851"/>
      <c r="AN174" s="1851"/>
      <c r="AO174" s="1852"/>
    </row>
    <row r="175" spans="1:41" ht="58.9" customHeight="1">
      <c r="A175" s="1868" t="s">
        <v>217</v>
      </c>
      <c r="B175" s="703" t="s">
        <v>218</v>
      </c>
      <c r="C175" s="703" t="s">
        <v>390</v>
      </c>
      <c r="D175" s="469" t="s">
        <v>630</v>
      </c>
      <c r="E175" s="704" t="s">
        <v>779</v>
      </c>
      <c r="F175" s="704" t="s">
        <v>780</v>
      </c>
      <c r="G175" s="704" t="s">
        <v>764</v>
      </c>
      <c r="H175" s="705" t="s">
        <v>597</v>
      </c>
      <c r="I175" s="705" t="s">
        <v>626</v>
      </c>
      <c r="J175" s="1461" t="s">
        <v>326</v>
      </c>
      <c r="K175" s="1461" t="s">
        <v>758</v>
      </c>
      <c r="L175" s="706" t="s">
        <v>759</v>
      </c>
      <c r="M175" s="1826"/>
      <c r="N175" s="508" t="s">
        <v>605</v>
      </c>
      <c r="O175" s="559" t="s">
        <v>606</v>
      </c>
      <c r="P175" s="1896"/>
      <c r="Q175" s="1815"/>
      <c r="R175" s="1815"/>
      <c r="S175" s="1815"/>
      <c r="T175" s="1839"/>
      <c r="U175" s="1837"/>
      <c r="V175" s="1813"/>
      <c r="W175" s="1835"/>
      <c r="X175" s="1392" t="s">
        <v>473</v>
      </c>
      <c r="Y175" s="1393" t="s">
        <v>489</v>
      </c>
      <c r="Z175" s="1393" t="s">
        <v>376</v>
      </c>
      <c r="AA175" s="1393" t="s">
        <v>377</v>
      </c>
      <c r="AB175" s="1393" t="s">
        <v>477</v>
      </c>
      <c r="AC175" s="1393" t="s">
        <v>225</v>
      </c>
      <c r="AD175" s="713" t="s">
        <v>617</v>
      </c>
      <c r="AE175" s="1092" t="s">
        <v>473</v>
      </c>
      <c r="AF175" s="710" t="s">
        <v>489</v>
      </c>
      <c r="AG175" s="710" t="s">
        <v>376</v>
      </c>
      <c r="AH175" s="710" t="s">
        <v>377</v>
      </c>
      <c r="AI175" s="710" t="s">
        <v>477</v>
      </c>
      <c r="AJ175" s="718" t="s">
        <v>225</v>
      </c>
      <c r="AK175" s="1569" t="s">
        <v>724</v>
      </c>
      <c r="AL175" s="1570" t="s">
        <v>493</v>
      </c>
      <c r="AM175" s="1570" t="s">
        <v>725</v>
      </c>
      <c r="AN175" s="1570" t="s">
        <v>225</v>
      </c>
      <c r="AO175" s="1571" t="s">
        <v>617</v>
      </c>
    </row>
    <row r="176" spans="1:41" ht="61.15" customHeight="1" thickBot="1">
      <c r="A176" s="1862"/>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7">
        <f>D177/1000</f>
        <v>49995.050999999999</v>
      </c>
      <c r="J177" s="647">
        <f>$H$17</f>
        <v>6.154773859516615E-2</v>
      </c>
      <c r="K177" s="957">
        <f>(I177)*J177-(I177)*$J$137</f>
        <v>0</v>
      </c>
      <c r="L177" s="957">
        <f>(E177)*$C$12*$G$12-(E177)*$C$12*$G$12</f>
        <v>0</v>
      </c>
      <c r="M177" s="1467">
        <f>L177+K177</f>
        <v>0</v>
      </c>
      <c r="N177" s="708">
        <v>0</v>
      </c>
      <c r="O177" s="1467">
        <f>N177*$E$177*($C$85)*$B$12</f>
        <v>0</v>
      </c>
      <c r="P177" s="1480">
        <f>O177+M177</f>
        <v>0</v>
      </c>
      <c r="Q177" s="1484">
        <f>E177*$B$12+(1-$J$137)*I177-P177</f>
        <v>68439.708347615408</v>
      </c>
      <c r="R177" s="1484">
        <f>Q177-G177</f>
        <v>0</v>
      </c>
      <c r="S177" s="1218">
        <f>R177/(Q177-I177*(1-J177))</f>
        <v>0</v>
      </c>
      <c r="T177" s="1489" t="str">
        <f>IF(AND(S177&gt;=0,S177&lt;=1),"Yes","No")</f>
        <v>Yes</v>
      </c>
      <c r="U177" s="1119">
        <f>IF(S177&lt;=0,0,IF(S177&gt;=1,1,S177))</f>
        <v>0</v>
      </c>
      <c r="V177" s="1493">
        <f t="shared" ref="V177:V210" si="136">AC177</f>
        <v>87501.974384615402</v>
      </c>
      <c r="W177" s="1490">
        <f t="shared" ref="W177:W210" si="137">(1-V177/F177)</f>
        <v>0</v>
      </c>
      <c r="X177" s="956">
        <f>(E177*$B$12-O177-L177)*(1-U177)+I177*(1-J177)</f>
        <v>68439.708347615408</v>
      </c>
      <c r="Y177" s="1501">
        <f>I177*J177+E177*$G$12*$C$12</f>
        <v>6080.5670370000007</v>
      </c>
      <c r="Z177" s="1530">
        <f>($C$12*$H$12*E177+O177)</f>
        <v>1694.9190000000001</v>
      </c>
      <c r="AA177" s="1530">
        <f>$F$137*$D$11</f>
        <v>0</v>
      </c>
      <c r="AB177" s="1530">
        <f>E177*$E$12</f>
        <v>11286.78</v>
      </c>
      <c r="AC177" s="1530">
        <f>SUM(X177:AB177)</f>
        <v>87501.974384615402</v>
      </c>
      <c r="AD177" s="1486">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7">
        <f>I177*(1-$J$137)-K177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1">
        <f>O178+M178</f>
        <v>369.30715404289339</v>
      </c>
      <c r="Q178" s="1364">
        <f t="shared" ref="Q178:Q210" si="142">E178*$B$12+(1-$J$137)*I178-P178</f>
        <v>68664.847653181423</v>
      </c>
      <c r="R178" s="1364">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4">
        <f t="shared" si="136"/>
        <v>84527.45688534659</v>
      </c>
      <c r="W178" s="1491">
        <f t="shared" si="137"/>
        <v>4.2790890844820795E-2</v>
      </c>
      <c r="X178" s="527">
        <f t="shared" ref="X178:X210" si="146">(E178*$B$12-O178-L178)*(1-U178)+I178*(1-J178)</f>
        <v>64886.148572305057</v>
      </c>
      <c r="Y178" s="1509">
        <f t="shared" ref="Y178:Y210" si="147">I178*J178+E178*$G$12*$C$12</f>
        <v>6432.32104401378</v>
      </c>
      <c r="Z178" s="1531">
        <f t="shared" ref="Z178:Z210" si="148">($C$12*$H$12*E178+O178)</f>
        <v>1789.9687605419947</v>
      </c>
      <c r="AA178" s="1531">
        <f t="shared" ref="AA178:AA210" si="149">$F$137*$D$11</f>
        <v>0</v>
      </c>
      <c r="AB178" s="1531">
        <f t="shared" ref="AB178:AB210" si="150">E178*$E$12</f>
        <v>11419.018508485759</v>
      </c>
      <c r="AC178" s="1531">
        <f t="shared" ref="AC178:AC210" si="151">SUM(X178:AB178)</f>
        <v>84527.45688534659</v>
      </c>
      <c r="AD178" s="1487">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7">
        <f t="shared" ref="AK178:AK210" si="158">I178*(1-$J$137)-K178</f>
        <v>46966.146027228184</v>
      </c>
      <c r="AL178" s="1498">
        <f t="shared" ref="AL178:AL210" si="159">(E178*$C$86*$B$12-L178)*(1-U178)</f>
        <v>16725.598779901986</v>
      </c>
      <c r="AM178" s="1498">
        <f t="shared" ref="AM178:AM210" si="160">(E178*($C$85)*$B$12-O178)*(1-U178)</f>
        <v>1194.4037651748863</v>
      </c>
      <c r="AN178" s="1498">
        <f t="shared" ref="AN178:AN210" si="161">SUM(AK178:AM178)</f>
        <v>64886.148572305057</v>
      </c>
      <c r="AO178" s="1184">
        <f t="shared" ref="AO178:AO210" si="162">AN178-X178</f>
        <v>0</v>
      </c>
    </row>
    <row r="179" spans="1:41">
      <c r="A179" s="127">
        <f>'Input data'!A119</f>
        <v>2019</v>
      </c>
      <c r="B179" s="662">
        <f>'Input data'!B119</f>
        <v>58.364834921819444</v>
      </c>
      <c r="C179" s="236">
        <f>'Input data'!C119</f>
        <v>4436.7667702662829</v>
      </c>
      <c r="D179" s="528">
        <f>'Input data'!E119</f>
        <v>53495734.497914702</v>
      </c>
      <c r="E179" s="527">
        <f>'Input data'!J119*C179</f>
        <v>53378.943448602397</v>
      </c>
      <c r="F179" s="528">
        <f>'Input data'!L119</f>
        <v>106874.6779465171</v>
      </c>
      <c r="G179" s="528">
        <f t="shared" ref="G179:G189" si="163">$G$137*(1+((($G$150/$G$137)^(1/($A$150-$A$137)))-1))^(A179-$A$137)</f>
        <v>61517.098453473154</v>
      </c>
      <c r="H179" s="528">
        <f t="shared" si="135"/>
        <v>19315.312356586452</v>
      </c>
      <c r="I179" s="530">
        <f t="shared" si="138"/>
        <v>53495.734497914702</v>
      </c>
      <c r="J179" s="417">
        <f t="shared" si="139"/>
        <v>7.3782491286642105E-2</v>
      </c>
      <c r="K179" s="775">
        <f t="shared" ref="K179:K210" si="164">(I179)*J179-(I179)*$J$137</f>
        <v>654.50708163084528</v>
      </c>
      <c r="L179" s="1512">
        <f t="shared" si="140"/>
        <v>0</v>
      </c>
      <c r="M179" s="1511">
        <f t="shared" ref="M179:M210" si="165">L179+K179</f>
        <v>654.50708163084528</v>
      </c>
      <c r="N179" s="1454">
        <f>($N$142-$N$137)/($A$102-$A$97)+N178</f>
        <v>0.1</v>
      </c>
      <c r="O179" s="530">
        <f t="shared" si="141"/>
        <v>150.38340000000005</v>
      </c>
      <c r="P179" s="1481">
        <f>O179+M179</f>
        <v>804.89048163084533</v>
      </c>
      <c r="Q179" s="1364">
        <f t="shared" si="142"/>
        <v>80027.520328428756</v>
      </c>
      <c r="R179" s="1364">
        <f t="shared" ref="R179:R210" si="166">Q179-G179</f>
        <v>18510.421874955602</v>
      </c>
      <c r="S179" s="576">
        <f t="shared" si="143"/>
        <v>0.60732053053856228</v>
      </c>
      <c r="T179" s="135" t="str">
        <f t="shared" si="144"/>
        <v>Yes</v>
      </c>
      <c r="U179" s="1091">
        <f t="shared" si="145"/>
        <v>0.60732053053856228</v>
      </c>
      <c r="V179" s="1494">
        <f t="shared" si="136"/>
        <v>88364.256071561496</v>
      </c>
      <c r="W179" s="1491">
        <f t="shared" si="137"/>
        <v>0.17319745173144474</v>
      </c>
      <c r="X179" s="527">
        <f t="shared" si="146"/>
        <v>61517.098453473154</v>
      </c>
      <c r="Y179" s="1509">
        <f t="shared" si="147"/>
        <v>8221.5351353750812</v>
      </c>
      <c r="Z179" s="1531">
        <f t="shared" si="148"/>
        <v>2562.551002317176</v>
      </c>
      <c r="AA179" s="1531">
        <f t="shared" si="149"/>
        <v>0</v>
      </c>
      <c r="AB179" s="1531">
        <f t="shared" si="150"/>
        <v>16063.071480396085</v>
      </c>
      <c r="AC179" s="1531">
        <f t="shared" si="151"/>
        <v>88364.256071561496</v>
      </c>
      <c r="AD179" s="1487">
        <f t="shared" si="152"/>
        <v>0</v>
      </c>
      <c r="AE179" s="649">
        <f t="shared" si="153"/>
        <v>0.69617627294517981</v>
      </c>
      <c r="AF179" s="417">
        <f t="shared" si="154"/>
        <v>9.3041411775332539E-2</v>
      </c>
      <c r="AG179" s="417">
        <f t="shared" si="155"/>
        <v>2.8999859402900452E-2</v>
      </c>
      <c r="AH179" s="417">
        <f t="shared" ref="AH179:AH210" si="167">AA179/AC179</f>
        <v>0</v>
      </c>
      <c r="AI179" s="417">
        <f t="shared" si="156"/>
        <v>0.18178245587658726</v>
      </c>
      <c r="AJ179" s="525">
        <f t="shared" si="157"/>
        <v>1</v>
      </c>
      <c r="AK179" s="1497">
        <f t="shared" si="158"/>
        <v>49548.685933449793</v>
      </c>
      <c r="AL179" s="1498">
        <f t="shared" si="159"/>
        <v>11187.044513699302</v>
      </c>
      <c r="AM179" s="1498">
        <f t="shared" si="160"/>
        <v>781.36800632405755</v>
      </c>
      <c r="AN179" s="1498">
        <f t="shared" si="161"/>
        <v>61517.098453473154</v>
      </c>
      <c r="AO179" s="1184">
        <f t="shared" si="162"/>
        <v>0</v>
      </c>
    </row>
    <row r="180" spans="1:41">
      <c r="A180" s="127">
        <f>'Input data'!A120</f>
        <v>2020</v>
      </c>
      <c r="B180" s="662">
        <f>'Input data'!B120</f>
        <v>59.308690000000006</v>
      </c>
      <c r="C180" s="236">
        <f>'Input data'!C120</f>
        <v>4156.6412676508144</v>
      </c>
      <c r="D180" s="528">
        <f>'Input data'!E120</f>
        <v>51132056.241912685</v>
      </c>
      <c r="E180" s="527">
        <f>'Input data'!J120*C180</f>
        <v>50008.740745401708</v>
      </c>
      <c r="F180" s="528">
        <f>'Input data'!L120</f>
        <v>101140.79698731439</v>
      </c>
      <c r="G180" s="528">
        <f t="shared" si="163"/>
        <v>58322.977791126912</v>
      </c>
      <c r="H180" s="528">
        <f t="shared" si="135"/>
        <v>18357.387508292384</v>
      </c>
      <c r="I180" s="530">
        <f t="shared" si="138"/>
        <v>51132.056241912687</v>
      </c>
      <c r="J180" s="417">
        <f t="shared" si="139"/>
        <v>8.0783733850016193E-2</v>
      </c>
      <c r="K180" s="775">
        <f t="shared" si="164"/>
        <v>983.57599124015769</v>
      </c>
      <c r="L180" s="1512">
        <f t="shared" si="140"/>
        <v>0</v>
      </c>
      <c r="M180" s="1511">
        <f t="shared" si="165"/>
        <v>983.57599124015769</v>
      </c>
      <c r="N180" s="1454">
        <f>($N$142-$N$137)/($A$102-$A$97)+N179</f>
        <v>0.15000000000000002</v>
      </c>
      <c r="O180" s="530">
        <f t="shared" si="141"/>
        <v>225.57510000000011</v>
      </c>
      <c r="P180" s="1481">
        <f t="shared" ref="P180:P210" si="168">O180+M180</f>
        <v>1209.1510912401577</v>
      </c>
      <c r="Q180" s="1364">
        <f t="shared" si="142"/>
        <v>75471.214208179139</v>
      </c>
      <c r="R180" s="1364">
        <f t="shared" si="166"/>
        <v>17148.236417052227</v>
      </c>
      <c r="S180" s="576">
        <f t="shared" si="143"/>
        <v>0.60233084152747052</v>
      </c>
      <c r="T180" s="135" t="str">
        <f t="shared" si="144"/>
        <v>Yes</v>
      </c>
      <c r="U180" s="1091">
        <f t="shared" si="145"/>
        <v>0.60233084152747052</v>
      </c>
      <c r="V180" s="1494">
        <f t="shared" si="136"/>
        <v>83992.560570262169</v>
      </c>
      <c r="W180" s="1491">
        <f t="shared" si="137"/>
        <v>0.16954816382555338</v>
      </c>
      <c r="X180" s="527">
        <f t="shared" si="146"/>
        <v>58322.977791126912</v>
      </c>
      <c r="Y180" s="1509">
        <f t="shared" si="147"/>
        <v>8135.2454256007841</v>
      </c>
      <c r="Z180" s="1531">
        <f t="shared" si="148"/>
        <v>2485.4449375303884</v>
      </c>
      <c r="AA180" s="1531">
        <f t="shared" si="149"/>
        <v>0</v>
      </c>
      <c r="AB180" s="1531">
        <f t="shared" si="150"/>
        <v>15048.892416004092</v>
      </c>
      <c r="AC180" s="1531">
        <f t="shared" si="151"/>
        <v>83992.560570262169</v>
      </c>
      <c r="AD180" s="1487">
        <f t="shared" si="152"/>
        <v>0</v>
      </c>
      <c r="AE180" s="649">
        <f t="shared" si="153"/>
        <v>0.69438266193037512</v>
      </c>
      <c r="AF180" s="417">
        <f t="shared" si="154"/>
        <v>9.6856737910679835E-2</v>
      </c>
      <c r="AG180" s="417">
        <f t="shared" si="155"/>
        <v>2.9591250947174578E-2</v>
      </c>
      <c r="AH180" s="417">
        <f t="shared" si="167"/>
        <v>0</v>
      </c>
      <c r="AI180" s="417">
        <f t="shared" si="156"/>
        <v>0.17916934921177055</v>
      </c>
      <c r="AJ180" s="525">
        <f t="shared" si="157"/>
        <v>1.0000000000000002</v>
      </c>
      <c r="AK180" s="1497">
        <f t="shared" si="158"/>
        <v>47001.417819261958</v>
      </c>
      <c r="AL180" s="1498">
        <f t="shared" si="159"/>
        <v>10613.900850087755</v>
      </c>
      <c r="AM180" s="1498">
        <f t="shared" si="160"/>
        <v>707.65912177719633</v>
      </c>
      <c r="AN180" s="1498">
        <f t="shared" si="161"/>
        <v>58322.977791126905</v>
      </c>
      <c r="AO180" s="1184">
        <f t="shared" si="162"/>
        <v>0</v>
      </c>
    </row>
    <row r="181" spans="1:41">
      <c r="A181" s="127">
        <f>'Input data'!A121</f>
        <v>2021</v>
      </c>
      <c r="B181" s="662">
        <f>'Input data'!B121</f>
        <v>59.991580449204264</v>
      </c>
      <c r="C181" s="236">
        <f>'Input data'!C121</f>
        <v>4293.1482366506107</v>
      </c>
      <c r="D181" s="528">
        <f>'Input data'!E121</f>
        <v>51275503.644747034</v>
      </c>
      <c r="E181" s="527">
        <f>'Input data'!J121*C181</f>
        <v>51651.062317816235</v>
      </c>
      <c r="F181" s="528">
        <f>'Input data'!L121</f>
        <v>102926.56596256327</v>
      </c>
      <c r="G181" s="528">
        <f t="shared" si="163"/>
        <v>55294.7038130703</v>
      </c>
      <c r="H181" s="528">
        <f t="shared" si="135"/>
        <v>22462.65583708472</v>
      </c>
      <c r="I181" s="530">
        <f t="shared" si="138"/>
        <v>51275.503644747034</v>
      </c>
      <c r="J181" s="417">
        <f t="shared" si="139"/>
        <v>8.8449326404511766E-2</v>
      </c>
      <c r="K181" s="775">
        <f t="shared" si="164"/>
        <v>1379.3924637675836</v>
      </c>
      <c r="L181" s="1512">
        <f t="shared" si="140"/>
        <v>0</v>
      </c>
      <c r="M181" s="1511">
        <f t="shared" si="165"/>
        <v>1379.3924637675836</v>
      </c>
      <c r="N181" s="1454">
        <f>($N$142-$N$137)/($A$102-$A$97)+N180</f>
        <v>0.2</v>
      </c>
      <c r="O181" s="530">
        <f t="shared" si="141"/>
        <v>300.7668000000001</v>
      </c>
      <c r="P181" s="1481">
        <f t="shared" si="168"/>
        <v>1680.1592637675838</v>
      </c>
      <c r="Q181" s="1364">
        <f t="shared" si="142"/>
        <v>76077.200386387442</v>
      </c>
      <c r="R181" s="1364">
        <f t="shared" si="166"/>
        <v>20782.496573317141</v>
      </c>
      <c r="S181" s="576">
        <f t="shared" si="143"/>
        <v>0.70840612152526361</v>
      </c>
      <c r="T181" s="135" t="str">
        <f t="shared" si="144"/>
        <v>Yes</v>
      </c>
      <c r="U181" s="1091">
        <f t="shared" si="145"/>
        <v>0.70840612152526361</v>
      </c>
      <c r="V181" s="1494">
        <f t="shared" si="136"/>
        <v>82144.069389246128</v>
      </c>
      <c r="W181" s="1491">
        <f t="shared" si="137"/>
        <v>0.20191576760538388</v>
      </c>
      <c r="X181" s="527">
        <f t="shared" si="146"/>
        <v>55294.7038130703</v>
      </c>
      <c r="Y181" s="1509">
        <f t="shared" si="147"/>
        <v>8671.4048201616661</v>
      </c>
      <c r="Z181" s="1531">
        <f t="shared" si="148"/>
        <v>2634.8523232226207</v>
      </c>
      <c r="AA181" s="1531">
        <f t="shared" si="149"/>
        <v>0</v>
      </c>
      <c r="AB181" s="1531">
        <f t="shared" si="150"/>
        <v>15543.108432791545</v>
      </c>
      <c r="AC181" s="1531">
        <f t="shared" si="151"/>
        <v>82144.069389246128</v>
      </c>
      <c r="AD181" s="1487">
        <f t="shared" si="152"/>
        <v>0</v>
      </c>
      <c r="AE181" s="649">
        <f t="shared" si="153"/>
        <v>0.6731429818877368</v>
      </c>
      <c r="AF181" s="417">
        <f t="shared" si="154"/>
        <v>0.10556337036422597</v>
      </c>
      <c r="AG181" s="417">
        <f t="shared" si="155"/>
        <v>3.2075989694851446E-2</v>
      </c>
      <c r="AH181" s="417">
        <f t="shared" si="167"/>
        <v>0</v>
      </c>
      <c r="AI181" s="417">
        <f t="shared" si="156"/>
        <v>0.18921765805318586</v>
      </c>
      <c r="AJ181" s="525">
        <f t="shared" si="157"/>
        <v>1.0000000000000002</v>
      </c>
      <c r="AK181" s="1497">
        <f t="shared" si="158"/>
        <v>46740.219886317071</v>
      </c>
      <c r="AL181" s="1498">
        <f t="shared" si="159"/>
        <v>8038.311979970953</v>
      </c>
      <c r="AM181" s="1498">
        <f t="shared" si="160"/>
        <v>516.17194678227759</v>
      </c>
      <c r="AN181" s="1498">
        <f t="shared" si="161"/>
        <v>55294.7038130703</v>
      </c>
      <c r="AO181" s="1184">
        <f t="shared" si="162"/>
        <v>0</v>
      </c>
    </row>
    <row r="182" spans="1:41">
      <c r="A182" s="127">
        <f>'Input data'!A122</f>
        <v>2022</v>
      </c>
      <c r="B182" s="1551">
        <f>'Input data'!B122</f>
        <v>60.682333816399378</v>
      </c>
      <c r="C182" s="1550">
        <f>'Input data'!C122</f>
        <v>4403.1093139322493</v>
      </c>
      <c r="D182" s="1509">
        <f>'Input data'!E122</f>
        <v>50359792.847133137</v>
      </c>
      <c r="E182" s="1508">
        <f>'Input data'!J122*C182</f>
        <v>52974.009055765164</v>
      </c>
      <c r="F182" s="1509">
        <f>'Input data'!L122</f>
        <v>103333.8019028983</v>
      </c>
      <c r="G182" s="1509">
        <f t="shared" si="163"/>
        <v>52423.665347216396</v>
      </c>
      <c r="H182" s="1509">
        <f t="shared" si="135"/>
        <v>25233.459691396267</v>
      </c>
      <c r="I182" s="1511">
        <f t="shared" si="138"/>
        <v>50359.79284713314</v>
      </c>
      <c r="J182" s="1504">
        <f t="shared" si="139"/>
        <v>9.6842309318564565E-2</v>
      </c>
      <c r="K182" s="1512">
        <f t="shared" si="164"/>
        <v>1777.4272702588346</v>
      </c>
      <c r="L182" s="1512">
        <f t="shared" si="140"/>
        <v>0</v>
      </c>
      <c r="M182" s="1511">
        <f t="shared" si="165"/>
        <v>1777.4272702588346</v>
      </c>
      <c r="N182" s="1454">
        <f>$C$26</f>
        <v>0.25</v>
      </c>
      <c r="O182" s="530">
        <f t="shared" si="141"/>
        <v>375.95850000000013</v>
      </c>
      <c r="P182" s="1481">
        <f t="shared" si="168"/>
        <v>2153.3857702588348</v>
      </c>
      <c r="Q182" s="1364">
        <f t="shared" si="142"/>
        <v>75503.739268353835</v>
      </c>
      <c r="R182" s="1364">
        <f t="shared" si="166"/>
        <v>23080.073921137438</v>
      </c>
      <c r="S182" s="576">
        <f t="shared" si="143"/>
        <v>0.7688000703860598</v>
      </c>
      <c r="T182" s="135" t="str">
        <f t="shared" si="144"/>
        <v>Yes</v>
      </c>
      <c r="U182" s="1091">
        <f t="shared" si="145"/>
        <v>0.7688000703860598</v>
      </c>
      <c r="V182" s="1494">
        <f t="shared" si="136"/>
        <v>80253.727981760894</v>
      </c>
      <c r="W182" s="1491">
        <f>(1-V182/F182)</f>
        <v>0.22335454126448873</v>
      </c>
      <c r="X182" s="527">
        <f t="shared" si="146"/>
        <v>52423.665347216396</v>
      </c>
      <c r="Y182" s="1509">
        <f t="shared" si="147"/>
        <v>9119.0188135422432</v>
      </c>
      <c r="Z182" s="1531">
        <f t="shared" si="148"/>
        <v>2769.8273208059522</v>
      </c>
      <c r="AA182" s="1531">
        <f t="shared" si="149"/>
        <v>0</v>
      </c>
      <c r="AB182" s="1531">
        <f t="shared" si="150"/>
        <v>15941.216500196295</v>
      </c>
      <c r="AC182" s="1531">
        <f t="shared" si="151"/>
        <v>80253.727981760894</v>
      </c>
      <c r="AD182" s="1487">
        <f t="shared" si="152"/>
        <v>0</v>
      </c>
      <c r="AE182" s="649">
        <f t="shared" si="153"/>
        <v>0.65322405158711905</v>
      </c>
      <c r="AF182" s="417">
        <f t="shared" si="154"/>
        <v>0.11362735467708995</v>
      </c>
      <c r="AG182" s="417">
        <f t="shared" si="155"/>
        <v>3.451337888546991E-2</v>
      </c>
      <c r="AH182" s="417">
        <f t="shared" si="167"/>
        <v>0</v>
      </c>
      <c r="AI182" s="417">
        <f t="shared" si="156"/>
        <v>0.19863521485032101</v>
      </c>
      <c r="AJ182" s="525">
        <f t="shared" si="157"/>
        <v>0.99999999999999989</v>
      </c>
      <c r="AK182" s="1497">
        <f t="shared" si="158"/>
        <v>45482.834211012239</v>
      </c>
      <c r="AL182" s="1498">
        <f t="shared" si="159"/>
        <v>6536.6876972140863</v>
      </c>
      <c r="AM182" s="1498">
        <f t="shared" si="160"/>
        <v>404.14343899006838</v>
      </c>
      <c r="AN182" s="1498">
        <f t="shared" si="161"/>
        <v>52423.665347216396</v>
      </c>
      <c r="AO182" s="1184">
        <f t="shared" si="162"/>
        <v>0</v>
      </c>
    </row>
    <row r="183" spans="1:41">
      <c r="A183" s="127">
        <f>'Input data'!A123</f>
        <v>2023</v>
      </c>
      <c r="B183" s="1551">
        <f>'Input data'!B123</f>
        <v>61.381040636574369</v>
      </c>
      <c r="C183" s="1550">
        <f>'Input data'!C123</f>
        <v>4507.0199361395535</v>
      </c>
      <c r="D183" s="1509">
        <f>'Input data'!E123</f>
        <v>49986151.288104504</v>
      </c>
      <c r="E183" s="1508">
        <f>'Input data'!J123*C183</f>
        <v>54224.162492651791</v>
      </c>
      <c r="F183" s="1509">
        <f>'Input data'!L123</f>
        <v>104210.31378075629</v>
      </c>
      <c r="G183" s="1509">
        <f t="shared" si="163"/>
        <v>49701.698334937471</v>
      </c>
      <c r="H183" s="1509">
        <f t="shared" si="135"/>
        <v>28322.128880502256</v>
      </c>
      <c r="I183" s="1511">
        <f t="shared" si="138"/>
        <v>49986.151288104506</v>
      </c>
      <c r="J183" s="1504">
        <f t="shared" si="139"/>
        <v>0.10603170487993842</v>
      </c>
      <c r="K183" s="1512">
        <f t="shared" si="164"/>
        <v>2223.5822686055667</v>
      </c>
      <c r="L183" s="1512">
        <f t="shared" si="140"/>
        <v>0</v>
      </c>
      <c r="M183" s="1511">
        <f t="shared" si="165"/>
        <v>2223.5822686055667</v>
      </c>
      <c r="N183" s="1454">
        <f>($N$147-$N$142)/($A$107-$A$102)+N182</f>
        <v>0.3</v>
      </c>
      <c r="O183" s="530">
        <f t="shared" si="141"/>
        <v>451.15020000000015</v>
      </c>
      <c r="P183" s="1481">
        <f t="shared" si="168"/>
        <v>2674.7324686055667</v>
      </c>
      <c r="Q183" s="1364">
        <f t="shared" si="142"/>
        <v>75349.094746834162</v>
      </c>
      <c r="R183" s="1364">
        <f t="shared" si="166"/>
        <v>25647.396411896691</v>
      </c>
      <c r="S183" s="576">
        <f t="shared" si="143"/>
        <v>0.83642650670893737</v>
      </c>
      <c r="T183" s="135" t="str">
        <f t="shared" si="144"/>
        <v>Yes</v>
      </c>
      <c r="U183" s="1091">
        <f t="shared" si="145"/>
        <v>0.83642650670893737</v>
      </c>
      <c r="V183" s="1494">
        <f t="shared" si="136"/>
        <v>78562.917368859606</v>
      </c>
      <c r="W183" s="1491">
        <f t="shared" si="137"/>
        <v>0.24611188164978726</v>
      </c>
      <c r="X183" s="527">
        <f t="shared" si="146"/>
        <v>49701.698334937471</v>
      </c>
      <c r="Y183" s="1509">
        <f t="shared" si="147"/>
        <v>9642.2869823339024</v>
      </c>
      <c r="Z183" s="1531">
        <f t="shared" si="148"/>
        <v>2901.5128257327401</v>
      </c>
      <c r="AA183" s="1531">
        <f t="shared" si="149"/>
        <v>0</v>
      </c>
      <c r="AB183" s="1531">
        <f t="shared" si="150"/>
        <v>16317.419225855498</v>
      </c>
      <c r="AC183" s="1531">
        <f t="shared" si="151"/>
        <v>78562.917368859606</v>
      </c>
      <c r="AD183" s="1487">
        <f t="shared" si="152"/>
        <v>0</v>
      </c>
      <c r="AE183" s="649">
        <f t="shared" si="153"/>
        <v>0.63263559958680959</v>
      </c>
      <c r="AF183" s="417">
        <f t="shared" si="154"/>
        <v>0.12273331115063538</v>
      </c>
      <c r="AG183" s="417">
        <f t="shared" si="155"/>
        <v>3.6932345728836538E-2</v>
      </c>
      <c r="AH183" s="417">
        <f t="shared" si="167"/>
        <v>0</v>
      </c>
      <c r="AI183" s="417">
        <f t="shared" si="156"/>
        <v>0.20769874353371859</v>
      </c>
      <c r="AJ183" s="525">
        <f t="shared" si="157"/>
        <v>1</v>
      </c>
      <c r="AK183" s="1497">
        <f t="shared" si="158"/>
        <v>44686.034446640253</v>
      </c>
      <c r="AL183" s="1498">
        <f t="shared" si="159"/>
        <v>4733.8335008298845</v>
      </c>
      <c r="AM183" s="1498">
        <f t="shared" si="160"/>
        <v>281.8303874673316</v>
      </c>
      <c r="AN183" s="1498">
        <f t="shared" si="161"/>
        <v>49701.698334937464</v>
      </c>
      <c r="AO183" s="1184">
        <f t="shared" si="162"/>
        <v>0</v>
      </c>
    </row>
    <row r="184" spans="1:41">
      <c r="A184" s="127">
        <f>'Input data'!A124</f>
        <v>2024</v>
      </c>
      <c r="B184" s="1551">
        <f>'Input data'!B124</f>
        <v>62.087792487153699</v>
      </c>
      <c r="C184" s="1550">
        <f>'Input data'!C124</f>
        <v>4624.8292728728675</v>
      </c>
      <c r="D184" s="1509">
        <f>'Input data'!E124</f>
        <v>51073828.378576256</v>
      </c>
      <c r="E184" s="1508">
        <f>'Input data'!J124*C184</f>
        <v>55641.531998154896</v>
      </c>
      <c r="F184" s="1509">
        <f>'Input data'!L124</f>
        <v>106715.36037673114</v>
      </c>
      <c r="G184" s="1509">
        <f t="shared" si="163"/>
        <v>47121.062615822855</v>
      </c>
      <c r="H184" s="1509">
        <f t="shared" si="135"/>
        <v>32736.794338407621</v>
      </c>
      <c r="I184" s="1511">
        <f t="shared" si="138"/>
        <v>51073.828378576254</v>
      </c>
      <c r="J184" s="1504">
        <f t="shared" si="139"/>
        <v>0.11609308492183117</v>
      </c>
      <c r="K184" s="1512">
        <f t="shared" si="164"/>
        <v>2785.8396571380936</v>
      </c>
      <c r="L184" s="1512">
        <f t="shared" si="140"/>
        <v>0</v>
      </c>
      <c r="M184" s="1511">
        <f t="shared" si="165"/>
        <v>2785.8396571380936</v>
      </c>
      <c r="N184" s="1454">
        <f>($N$147-$N$142)/($A$107-$A$102)+N183</f>
        <v>0.35</v>
      </c>
      <c r="O184" s="530">
        <f t="shared" si="141"/>
        <v>526.34190000000012</v>
      </c>
      <c r="P184" s="1481">
        <f t="shared" si="168"/>
        <v>3312.1815571380939</v>
      </c>
      <c r="Q184" s="1364">
        <f t="shared" si="142"/>
        <v>76545.675397092389</v>
      </c>
      <c r="R184" s="1364">
        <f t="shared" si="166"/>
        <v>29424.612781269534</v>
      </c>
      <c r="S184" s="576">
        <f t="shared" si="143"/>
        <v>0.93705480313439238</v>
      </c>
      <c r="T184" s="135" t="str">
        <f t="shared" si="144"/>
        <v>Yes</v>
      </c>
      <c r="U184" s="1091">
        <f t="shared" si="145"/>
        <v>0.93705480313439238</v>
      </c>
      <c r="V184" s="1494">
        <f t="shared" si="136"/>
        <v>77290.747595461638</v>
      </c>
      <c r="W184" s="1491">
        <f t="shared" si="137"/>
        <v>0.27572987316346476</v>
      </c>
      <c r="X184" s="527">
        <f t="shared" si="146"/>
        <v>47121.062615822855</v>
      </c>
      <c r="Y184" s="1509">
        <f t="shared" si="147"/>
        <v>10384.988751509649</v>
      </c>
      <c r="Z184" s="1531">
        <f t="shared" si="148"/>
        <v>3040.7547406827407</v>
      </c>
      <c r="AA184" s="1531">
        <f t="shared" si="149"/>
        <v>0</v>
      </c>
      <c r="AB184" s="1531">
        <f t="shared" si="150"/>
        <v>16743.941487446387</v>
      </c>
      <c r="AC184" s="1531">
        <f t="shared" si="151"/>
        <v>77290.747595461638</v>
      </c>
      <c r="AD184" s="1487">
        <f t="shared" si="152"/>
        <v>0</v>
      </c>
      <c r="AE184" s="649">
        <f t="shared" si="153"/>
        <v>0.60965981157865923</v>
      </c>
      <c r="AF184" s="417">
        <f t="shared" si="154"/>
        <v>0.13436263814996965</v>
      </c>
      <c r="AG184" s="417">
        <f t="shared" si="155"/>
        <v>3.9341769038100077E-2</v>
      </c>
      <c r="AH184" s="417">
        <f t="shared" si="167"/>
        <v>0</v>
      </c>
      <c r="AI184" s="417">
        <f t="shared" si="156"/>
        <v>0.2166357812332709</v>
      </c>
      <c r="AJ184" s="525">
        <f t="shared" si="157"/>
        <v>0.99999999999999978</v>
      </c>
      <c r="AK184" s="1497">
        <f t="shared" si="158"/>
        <v>45144.51008333917</v>
      </c>
      <c r="AL184" s="1498">
        <f t="shared" si="159"/>
        <v>1869.2563836635527</v>
      </c>
      <c r="AM184" s="1498">
        <f t="shared" si="160"/>
        <v>107.29614882013229</v>
      </c>
      <c r="AN184" s="1498">
        <f t="shared" si="161"/>
        <v>47121.062615822855</v>
      </c>
      <c r="AO184" s="1184">
        <f t="shared" si="162"/>
        <v>0</v>
      </c>
    </row>
    <row r="185" spans="1:41">
      <c r="A185" s="127">
        <f>'Input data'!A125</f>
        <v>2025</v>
      </c>
      <c r="B185" s="1551">
        <f>'Input data'!B125</f>
        <v>62.802682000000026</v>
      </c>
      <c r="C185" s="1550">
        <f>'Input data'!C125</f>
        <v>4737.3047749260231</v>
      </c>
      <c r="D185" s="1509">
        <f>'Input data'!E125</f>
        <v>51201731.8667503</v>
      </c>
      <c r="E185" s="1508">
        <f>'Input data'!J125*C185</f>
        <v>56994.729895255135</v>
      </c>
      <c r="F185" s="1509">
        <f>'Input data'!L125</f>
        <v>108196.46176200543</v>
      </c>
      <c r="G185" s="1509">
        <f t="shared" si="163"/>
        <v>44674.419917829786</v>
      </c>
      <c r="H185" s="1509">
        <f t="shared" si="135"/>
        <v>36079.942941891801</v>
      </c>
      <c r="I185" s="1511">
        <f t="shared" si="138"/>
        <v>51201.731866750299</v>
      </c>
      <c r="J185" s="1504">
        <f t="shared" si="139"/>
        <v>0.12710919231119061</v>
      </c>
      <c r="K185" s="1512">
        <f t="shared" si="164"/>
        <v>3356.8599739622446</v>
      </c>
      <c r="L185" s="1512">
        <f t="shared" si="140"/>
        <v>0</v>
      </c>
      <c r="M185" s="1511">
        <f t="shared" si="165"/>
        <v>3356.8599739622446</v>
      </c>
      <c r="N185" s="1454">
        <f>($N$147-$N$142)/($A$107-$A$102)+N184</f>
        <v>0.39999999999999997</v>
      </c>
      <c r="O185" s="530">
        <f t="shared" si="141"/>
        <v>601.53360000000009</v>
      </c>
      <c r="P185" s="1481">
        <f t="shared" si="168"/>
        <v>3958.3935739622448</v>
      </c>
      <c r="Q185" s="1364">
        <f t="shared" si="142"/>
        <v>76795.969285759347</v>
      </c>
      <c r="R185" s="1364">
        <f t="shared" si="166"/>
        <v>32121.549367929561</v>
      </c>
      <c r="S185" s="576">
        <f t="shared" si="143"/>
        <v>1.0005950065329541</v>
      </c>
      <c r="T185" s="135" t="str">
        <f t="shared" si="144"/>
        <v>No</v>
      </c>
      <c r="U185" s="1091">
        <f t="shared" si="145"/>
        <v>1</v>
      </c>
      <c r="V185" s="1494">
        <f t="shared" si="136"/>
        <v>76094.013560479623</v>
      </c>
      <c r="W185" s="1491">
        <f t="shared" si="137"/>
        <v>0.29670515725495739</v>
      </c>
      <c r="X185" s="527">
        <f t="shared" si="146"/>
        <v>44693.521084233515</v>
      </c>
      <c r="Y185" s="1509">
        <f t="shared" si="147"/>
        <v>11072.242811073149</v>
      </c>
      <c r="Z185" s="1531">
        <f t="shared" si="148"/>
        <v>3177.0967729303602</v>
      </c>
      <c r="AA185" s="1531">
        <f t="shared" si="149"/>
        <v>0</v>
      </c>
      <c r="AB185" s="1531">
        <f t="shared" si="150"/>
        <v>17151.152892242597</v>
      </c>
      <c r="AC185" s="1531">
        <f t="shared" si="151"/>
        <v>76094.013560479623</v>
      </c>
      <c r="AD185" s="1487">
        <f t="shared" si="152"/>
        <v>19.101166403728712</v>
      </c>
      <c r="AE185" s="649">
        <f t="shared" si="153"/>
        <v>0.58734608667620147</v>
      </c>
      <c r="AF185" s="417">
        <f t="shared" si="154"/>
        <v>0.14550740975534054</v>
      </c>
      <c r="AG185" s="417">
        <f t="shared" si="155"/>
        <v>4.1752256508394044E-2</v>
      </c>
      <c r="AH185" s="417">
        <f t="shared" si="167"/>
        <v>0</v>
      </c>
      <c r="AI185" s="417">
        <f t="shared" si="156"/>
        <v>0.22539424706006389</v>
      </c>
      <c r="AJ185" s="525">
        <f t="shared" si="157"/>
        <v>1</v>
      </c>
      <c r="AK185" s="1497">
        <f t="shared" si="158"/>
        <v>44693.521084233522</v>
      </c>
      <c r="AL185" s="1498">
        <f t="shared" si="159"/>
        <v>0</v>
      </c>
      <c r="AM185" s="1498">
        <f t="shared" si="160"/>
        <v>0</v>
      </c>
      <c r="AN185" s="1498">
        <f t="shared" si="161"/>
        <v>44693.521084233522</v>
      </c>
      <c r="AO185" s="1184">
        <f t="shared" si="162"/>
        <v>0</v>
      </c>
    </row>
    <row r="186" spans="1:41">
      <c r="A186" s="127">
        <f>'Input data'!A126</f>
        <v>2026</v>
      </c>
      <c r="B186" s="1551">
        <f>'Input data'!B126</f>
        <v>63.421065342005143</v>
      </c>
      <c r="C186" s="1550">
        <f>'Input data'!C126</f>
        <v>4839.0369685354799</v>
      </c>
      <c r="D186" s="1509">
        <f>'Input data'!E126</f>
        <v>50537069.53539668</v>
      </c>
      <c r="E186" s="1508">
        <f>'Input data'!J126*C186</f>
        <v>58218.674558286308</v>
      </c>
      <c r="F186" s="1509">
        <f>'Input data'!L126</f>
        <v>108755.744093683</v>
      </c>
      <c r="G186" s="1509">
        <f t="shared" si="163"/>
        <v>42354.812990240433</v>
      </c>
      <c r="H186" s="1509">
        <f t="shared" si="135"/>
        <v>38478.104163366166</v>
      </c>
      <c r="I186" s="1511">
        <f t="shared" si="138"/>
        <v>50537.06953539668</v>
      </c>
      <c r="J186" s="1504">
        <f t="shared" si="139"/>
        <v>0.13917062141024203</v>
      </c>
      <c r="K186" s="1512">
        <f t="shared" si="164"/>
        <v>3922.8330263634375</v>
      </c>
      <c r="L186" s="1512">
        <f t="shared" si="140"/>
        <v>0</v>
      </c>
      <c r="M186" s="1511">
        <f t="shared" si="165"/>
        <v>3922.8330263634375</v>
      </c>
      <c r="N186" s="1454">
        <f>($N$147-$N$142)/($A$107-$A$102)+N185</f>
        <v>0.44999999999999996</v>
      </c>
      <c r="O186" s="530">
        <f t="shared" si="141"/>
        <v>676.72530000000006</v>
      </c>
      <c r="P186" s="1481">
        <f t="shared" si="168"/>
        <v>4599.558326363438</v>
      </c>
      <c r="Q186" s="1364">
        <f t="shared" si="142"/>
        <v>76233.358827243166</v>
      </c>
      <c r="R186" s="1364">
        <f t="shared" si="166"/>
        <v>33878.545837002734</v>
      </c>
      <c r="S186" s="576">
        <f t="shared" si="143"/>
        <v>1.0351052996115597</v>
      </c>
      <c r="T186" s="135" t="str">
        <f t="shared" si="144"/>
        <v>No</v>
      </c>
      <c r="U186" s="1091">
        <f t="shared" si="145"/>
        <v>1</v>
      </c>
      <c r="V186" s="1494">
        <f t="shared" si="136"/>
        <v>76026.179430342745</v>
      </c>
      <c r="W186" s="1491">
        <f t="shared" si="137"/>
        <v>0.30094561842312217</v>
      </c>
      <c r="X186" s="527">
        <f t="shared" si="146"/>
        <v>43503.794163902909</v>
      </c>
      <c r="Y186" s="1509">
        <f t="shared" si="147"/>
        <v>11695.318613604813</v>
      </c>
      <c r="Z186" s="1531">
        <f t="shared" si="148"/>
        <v>3307.5979165508688</v>
      </c>
      <c r="AA186" s="1531">
        <f t="shared" si="149"/>
        <v>0</v>
      </c>
      <c r="AB186" s="1531">
        <f t="shared" si="150"/>
        <v>17519.468736284161</v>
      </c>
      <c r="AC186" s="1531">
        <f t="shared" si="151"/>
        <v>76026.179430342745</v>
      </c>
      <c r="AD186" s="1487">
        <f t="shared" si="152"/>
        <v>1148.9811736624761</v>
      </c>
      <c r="AE186" s="1454">
        <f t="shared" si="153"/>
        <v>0.57222123339450814</v>
      </c>
      <c r="AF186" s="1504">
        <f t="shared" si="154"/>
        <v>0.15383278103985723</v>
      </c>
      <c r="AG186" s="1504">
        <f t="shared" si="155"/>
        <v>4.3506038858382723E-2</v>
      </c>
      <c r="AH186" s="1504">
        <f t="shared" si="167"/>
        <v>0</v>
      </c>
      <c r="AI186" s="1504">
        <f t="shared" si="156"/>
        <v>0.23043994670725201</v>
      </c>
      <c r="AJ186" s="1541">
        <f t="shared" si="157"/>
        <v>1</v>
      </c>
      <c r="AK186" s="1555">
        <f t="shared" si="158"/>
        <v>43503.794163902916</v>
      </c>
      <c r="AL186" s="1556">
        <f t="shared" si="159"/>
        <v>0</v>
      </c>
      <c r="AM186" s="1556">
        <f t="shared" si="160"/>
        <v>0</v>
      </c>
      <c r="AN186" s="1498">
        <f t="shared" si="161"/>
        <v>43503.794163902916</v>
      </c>
      <c r="AO186" s="1184">
        <f t="shared" si="162"/>
        <v>0</v>
      </c>
    </row>
    <row r="187" spans="1:41">
      <c r="A187" s="127">
        <f>'Input data'!A127</f>
        <v>2027</v>
      </c>
      <c r="B187" s="1551">
        <f>'Input data'!B127</f>
        <v>64.045537563425796</v>
      </c>
      <c r="C187" s="1550">
        <f>'Input data'!C127</f>
        <v>4937.5264455117067</v>
      </c>
      <c r="D187" s="1509">
        <f>'Input data'!E127</f>
        <v>49329037.288601168</v>
      </c>
      <c r="E187" s="1508">
        <f>'Input data'!J127*C187</f>
        <v>59403.605949548262</v>
      </c>
      <c r="F187" s="1509">
        <f>'Input data'!L127</f>
        <v>108732.64323814944</v>
      </c>
      <c r="G187" s="1509">
        <f t="shared" si="163"/>
        <v>40155.6458200876</v>
      </c>
      <c r="H187" s="1509">
        <f t="shared" si="135"/>
        <v>40223.512808372681</v>
      </c>
      <c r="I187" s="1511">
        <f t="shared" si="138"/>
        <v>49329.037288601168</v>
      </c>
      <c r="J187" s="1504">
        <f t="shared" si="139"/>
        <v>0.15237656310721223</v>
      </c>
      <c r="K187" s="1512">
        <f t="shared" si="164"/>
        <v>4480.4984712345322</v>
      </c>
      <c r="L187" s="1512">
        <f t="shared" si="140"/>
        <v>0</v>
      </c>
      <c r="M187" s="1511">
        <f t="shared" si="165"/>
        <v>4480.4984712345322</v>
      </c>
      <c r="N187" s="1454">
        <f>$C$27</f>
        <v>0.5</v>
      </c>
      <c r="O187" s="530">
        <f t="shared" si="141"/>
        <v>751.91700000000026</v>
      </c>
      <c r="P187" s="1481">
        <f t="shared" si="168"/>
        <v>5232.4154712345326</v>
      </c>
      <c r="Q187" s="1364">
        <f t="shared" si="142"/>
        <v>75146.743157225748</v>
      </c>
      <c r="R187" s="1364">
        <f t="shared" si="166"/>
        <v>34991.097337138148</v>
      </c>
      <c r="S187" s="576">
        <f t="shared" si="143"/>
        <v>1.0497026351838572</v>
      </c>
      <c r="T187" s="135" t="str">
        <f t="shared" si="144"/>
        <v>No</v>
      </c>
      <c r="U187" s="1091">
        <f t="shared" si="145"/>
        <v>1</v>
      </c>
      <c r="V187" s="1494">
        <f t="shared" si="136"/>
        <v>75398.348206100287</v>
      </c>
      <c r="W187" s="1491">
        <f t="shared" si="137"/>
        <v>0.3065711826671903</v>
      </c>
      <c r="X187" s="527">
        <f t="shared" si="146"/>
        <v>41812.448125176605</v>
      </c>
      <c r="Y187" s="1509">
        <f t="shared" si="147"/>
        <v>12273.519508804635</v>
      </c>
      <c r="Z187" s="1531">
        <f t="shared" si="148"/>
        <v>3436.3360700456424</v>
      </c>
      <c r="AA187" s="1531">
        <f t="shared" si="149"/>
        <v>0</v>
      </c>
      <c r="AB187" s="1531">
        <f>E187*$E$12</f>
        <v>17876.044502073404</v>
      </c>
      <c r="AC187" s="1531">
        <f t="shared" si="151"/>
        <v>75398.348206100287</v>
      </c>
      <c r="AD187" s="1487">
        <f t="shared" si="152"/>
        <v>1656.8023050890042</v>
      </c>
      <c r="AE187" s="1454">
        <f t="shared" si="153"/>
        <v>0.55455390098046831</v>
      </c>
      <c r="AF187" s="1504">
        <f t="shared" si="154"/>
        <v>0.16278233941219969</v>
      </c>
      <c r="AG187" s="1504">
        <f t="shared" si="155"/>
        <v>4.5575747371182029E-2</v>
      </c>
      <c r="AH187" s="1504">
        <f t="shared" si="167"/>
        <v>0</v>
      </c>
      <c r="AI187" s="1504">
        <f t="shared" si="156"/>
        <v>0.23708801223615</v>
      </c>
      <c r="AJ187" s="1541">
        <f t="shared" si="157"/>
        <v>1</v>
      </c>
      <c r="AK187" s="1555">
        <f t="shared" si="158"/>
        <v>41812.448125176605</v>
      </c>
      <c r="AL187" s="1556">
        <f t="shared" si="159"/>
        <v>0</v>
      </c>
      <c r="AM187" s="1556">
        <f t="shared" si="160"/>
        <v>0</v>
      </c>
      <c r="AN187" s="1498">
        <f t="shared" si="161"/>
        <v>41812.448125176605</v>
      </c>
      <c r="AO187" s="1184">
        <f t="shared" si="162"/>
        <v>0</v>
      </c>
    </row>
    <row r="188" spans="1:41">
      <c r="A188" s="127">
        <f>'Input data'!A128</f>
        <v>2028</v>
      </c>
      <c r="B188" s="1551">
        <f>'Input data'!B128</f>
        <v>64.676158618096451</v>
      </c>
      <c r="C188" s="1550">
        <f>'Input data'!C128</f>
        <v>5030.8888370380655</v>
      </c>
      <c r="D188" s="1509">
        <f>'Input data'!E128</f>
        <v>48528826.860263921</v>
      </c>
      <c r="E188" s="1508">
        <f>'Input data'!J128*C188</f>
        <v>60526.853141830288</v>
      </c>
      <c r="F188" s="1509">
        <f>'Input data'!L128</f>
        <v>109055.68000209422</v>
      </c>
      <c r="G188" s="1509">
        <f t="shared" si="163"/>
        <v>38070.664875792791</v>
      </c>
      <c r="H188" s="1509">
        <f t="shared" si="135"/>
        <v>42202.06170275349</v>
      </c>
      <c r="I188" s="1511">
        <f t="shared" si="138"/>
        <v>48528.826860263922</v>
      </c>
      <c r="J188" s="1504">
        <f t="shared" si="139"/>
        <v>0.16683562054324133</v>
      </c>
      <c r="K188" s="1512">
        <f t="shared" si="164"/>
        <v>5109.4973935420476</v>
      </c>
      <c r="L188" s="1512">
        <f t="shared" si="140"/>
        <v>0</v>
      </c>
      <c r="M188" s="1511">
        <f t="shared" si="165"/>
        <v>5109.4973935420476</v>
      </c>
      <c r="N188" s="1454">
        <f>N187</f>
        <v>0.5</v>
      </c>
      <c r="O188" s="530">
        <f t="shared" si="141"/>
        <v>751.91700000000026</v>
      </c>
      <c r="P188" s="1481">
        <f t="shared" si="168"/>
        <v>5861.4143935420479</v>
      </c>
      <c r="Q188" s="1364">
        <f t="shared" si="142"/>
        <v>74411.312185004237</v>
      </c>
      <c r="R188" s="1364">
        <f t="shared" si="166"/>
        <v>36340.647309211447</v>
      </c>
      <c r="S188" s="576">
        <f t="shared" si="143"/>
        <v>1.0695087376001642</v>
      </c>
      <c r="T188" s="135" t="str">
        <f t="shared" si="144"/>
        <v>No</v>
      </c>
      <c r="U188" s="1091">
        <f t="shared" si="145"/>
        <v>1</v>
      </c>
      <c r="V188" s="1494">
        <f t="shared" si="136"/>
        <v>75076.857733886267</v>
      </c>
      <c r="W188" s="1491">
        <f t="shared" si="137"/>
        <v>0.31157315481005166</v>
      </c>
      <c r="X188" s="527">
        <f t="shared" si="146"/>
        <v>40432.489916796272</v>
      </c>
      <c r="Y188" s="1509">
        <f t="shared" si="147"/>
        <v>12943.214836120649</v>
      </c>
      <c r="Z188" s="1531">
        <f t="shared" si="148"/>
        <v>3487.0950456185724</v>
      </c>
      <c r="AA188" s="1531">
        <f t="shared" si="149"/>
        <v>0</v>
      </c>
      <c r="AB188" s="1531">
        <f t="shared" si="150"/>
        <v>18214.057935350767</v>
      </c>
      <c r="AC188" s="1531">
        <f t="shared" si="151"/>
        <v>75076.857733886267</v>
      </c>
      <c r="AD188" s="1487">
        <f t="shared" si="152"/>
        <v>2361.8250410034816</v>
      </c>
      <c r="AE188" s="1454">
        <f t="shared" si="153"/>
        <v>0.53854797786171715</v>
      </c>
      <c r="AF188" s="1504">
        <f t="shared" si="154"/>
        <v>0.17239952798768604</v>
      </c>
      <c r="AG188" s="1504">
        <f t="shared" si="155"/>
        <v>4.6447003122836568E-2</v>
      </c>
      <c r="AH188" s="1504">
        <f t="shared" si="167"/>
        <v>0</v>
      </c>
      <c r="AI188" s="1504">
        <f t="shared" si="156"/>
        <v>0.24260549102776011</v>
      </c>
      <c r="AJ188" s="1541">
        <f t="shared" si="157"/>
        <v>0.99999999999999989</v>
      </c>
      <c r="AK188" s="1555">
        <f t="shared" si="158"/>
        <v>40432.489916796272</v>
      </c>
      <c r="AL188" s="1556">
        <f t="shared" si="159"/>
        <v>0</v>
      </c>
      <c r="AM188" s="1556">
        <f t="shared" si="160"/>
        <v>0</v>
      </c>
      <c r="AN188" s="1498">
        <f t="shared" si="161"/>
        <v>40432.489916796272</v>
      </c>
      <c r="AO188" s="1184">
        <f t="shared" si="162"/>
        <v>0</v>
      </c>
    </row>
    <row r="189" spans="1:41">
      <c r="A189" s="127">
        <f>'Input data'!A129</f>
        <v>2029</v>
      </c>
      <c r="B189" s="1551">
        <f>'Input data'!B129</f>
        <v>65.31298905018393</v>
      </c>
      <c r="C189" s="1550">
        <f>'Input data'!C129</f>
        <v>5147.1070268118992</v>
      </c>
      <c r="D189" s="1509">
        <f>'Input data'!E129</f>
        <v>46965110.037548423</v>
      </c>
      <c r="E189" s="1508">
        <f>'Input data'!J129*C189</f>
        <v>61925.079485664915</v>
      </c>
      <c r="F189" s="1509">
        <f>'Input data'!L129</f>
        <v>108890.18952321334</v>
      </c>
      <c r="G189" s="1509">
        <f t="shared" si="163"/>
        <v>36093.941324681233</v>
      </c>
      <c r="H189" s="1509">
        <f t="shared" si="135"/>
        <v>43513.623896490506</v>
      </c>
      <c r="I189" s="1511">
        <f t="shared" si="138"/>
        <v>46965.110037548424</v>
      </c>
      <c r="J189" s="1504">
        <f>$J$137*(1+((($J$150/$J$137)^(1/($A$150-$A$137)))-1))^(A189-$A$137)</f>
        <v>0.18266670224386344</v>
      </c>
      <c r="K189" s="1512">
        <f t="shared" si="164"/>
        <v>5688.3654553948963</v>
      </c>
      <c r="L189" s="1512">
        <f t="shared" si="140"/>
        <v>0</v>
      </c>
      <c r="M189" s="1511">
        <f t="shared" si="165"/>
        <v>5688.3654553948963</v>
      </c>
      <c r="N189" s="1454">
        <f t="shared" ref="N189:N210" si="169">N188</f>
        <v>0.5</v>
      </c>
      <c r="O189" s="530">
        <f t="shared" si="141"/>
        <v>751.91700000000026</v>
      </c>
      <c r="P189" s="1481">
        <f t="shared" si="168"/>
        <v>6440.2824553948967</v>
      </c>
      <c r="Q189" s="1364">
        <f t="shared" si="142"/>
        <v>73167.282765776836</v>
      </c>
      <c r="R189" s="1364">
        <f t="shared" si="166"/>
        <v>37073.341441095603</v>
      </c>
      <c r="S189" s="576">
        <f t="shared" si="143"/>
        <v>1.0659037427842868</v>
      </c>
      <c r="T189" s="135" t="str">
        <f t="shared" si="144"/>
        <v>No</v>
      </c>
      <c r="U189" s="1091">
        <f t="shared" si="145"/>
        <v>1</v>
      </c>
      <c r="V189" s="1494">
        <f t="shared" si="136"/>
        <v>74109.055023905777</v>
      </c>
      <c r="W189" s="1491">
        <f t="shared" si="137"/>
        <v>0.31941476685457393</v>
      </c>
      <c r="X189" s="527">
        <f t="shared" si="146"/>
        <v>38386.148266469281</v>
      </c>
      <c r="Y189" s="1509">
        <f t="shared" si="147"/>
        <v>13537.807030331835</v>
      </c>
      <c r="Z189" s="1531">
        <f t="shared" si="148"/>
        <v>3550.2801907226872</v>
      </c>
      <c r="AA189" s="1531">
        <f t="shared" si="149"/>
        <v>0</v>
      </c>
      <c r="AB189" s="1531">
        <f t="shared" si="150"/>
        <v>18634.81953638198</v>
      </c>
      <c r="AC189" s="1531">
        <f t="shared" si="151"/>
        <v>74109.055023905777</v>
      </c>
      <c r="AD189" s="1487">
        <f t="shared" si="152"/>
        <v>2292.2069417880484</v>
      </c>
      <c r="AE189" s="1454">
        <f t="shared" si="153"/>
        <v>0.51796839474051914</v>
      </c>
      <c r="AF189" s="1504">
        <f t="shared" si="154"/>
        <v>0.18267412836346203</v>
      </c>
      <c r="AG189" s="1504">
        <f t="shared" si="155"/>
        <v>4.7906159234893136E-2</v>
      </c>
      <c r="AH189" s="1504">
        <f t="shared" si="167"/>
        <v>0</v>
      </c>
      <c r="AI189" s="1504">
        <f t="shared" si="156"/>
        <v>0.25145131766112577</v>
      </c>
      <c r="AJ189" s="1541">
        <f t="shared" si="157"/>
        <v>1.0000000000000002</v>
      </c>
      <c r="AK189" s="1555">
        <f t="shared" si="158"/>
        <v>38386.148266469281</v>
      </c>
      <c r="AL189" s="1556">
        <f t="shared" si="159"/>
        <v>0</v>
      </c>
      <c r="AM189" s="1556">
        <f t="shared" si="160"/>
        <v>0</v>
      </c>
      <c r="AN189" s="1498">
        <f t="shared" si="161"/>
        <v>38386.148266469281</v>
      </c>
      <c r="AO189" s="1184">
        <f t="shared" si="162"/>
        <v>0</v>
      </c>
    </row>
    <row r="190" spans="1:41">
      <c r="A190" s="127">
        <f>'Input data'!A130</f>
        <v>2030</v>
      </c>
      <c r="B190" s="1551">
        <f>'Input data'!B130</f>
        <v>65.956090000000003</v>
      </c>
      <c r="C190" s="1550">
        <f>'Input data'!C130</f>
        <v>5262.1824199605107</v>
      </c>
      <c r="D190" s="1509">
        <f>'Input data'!E130</f>
        <v>45521353.842330128</v>
      </c>
      <c r="E190" s="1508">
        <f>'Input data'!J130*C190</f>
        <v>63309.556791159332</v>
      </c>
      <c r="F190" s="1509">
        <f>'Input data'!L130</f>
        <v>108830.91063348946</v>
      </c>
      <c r="G190" s="1509">
        <f>G177*(1-$C$4)</f>
        <v>34219.854173807704</v>
      </c>
      <c r="H190" s="1509">
        <f t="shared" si="135"/>
        <v>44827.237716054617</v>
      </c>
      <c r="I190" s="1511">
        <f t="shared" si="138"/>
        <v>45521.353842330129</v>
      </c>
      <c r="J190" s="1504">
        <v>0.2</v>
      </c>
      <c r="K190" s="1512">
        <f t="shared" si="164"/>
        <v>6302.5343816802288</v>
      </c>
      <c r="L190" s="1512">
        <f t="shared" si="140"/>
        <v>0</v>
      </c>
      <c r="M190" s="1511">
        <f t="shared" si="165"/>
        <v>6302.5343816802288</v>
      </c>
      <c r="N190" s="1454">
        <f t="shared" si="169"/>
        <v>0.5</v>
      </c>
      <c r="O190" s="530">
        <f t="shared" si="141"/>
        <v>751.91700000000026</v>
      </c>
      <c r="P190" s="1481">
        <f t="shared" si="168"/>
        <v>7054.4513816802291</v>
      </c>
      <c r="Q190" s="1364">
        <f t="shared" si="142"/>
        <v>71992.640508182085</v>
      </c>
      <c r="R190" s="1364">
        <f t="shared" si="166"/>
        <v>37772.786334374381</v>
      </c>
      <c r="S190" s="576">
        <f t="shared" si="143"/>
        <v>1.0617623182465397</v>
      </c>
      <c r="T190" s="135" t="str">
        <f t="shared" si="144"/>
        <v>No</v>
      </c>
      <c r="U190" s="1091">
        <f t="shared" si="145"/>
        <v>1</v>
      </c>
      <c r="V190" s="1494">
        <f t="shared" si="136"/>
        <v>73255.353199171484</v>
      </c>
      <c r="W190" s="1491">
        <f t="shared" si="137"/>
        <v>0.3268883557735357</v>
      </c>
      <c r="X190" s="527">
        <f t="shared" si="146"/>
        <v>36417.083073864102</v>
      </c>
      <c r="Y190" s="1509">
        <f t="shared" si="147"/>
        <v>14173.982396884756</v>
      </c>
      <c r="Z190" s="1531">
        <f t="shared" si="148"/>
        <v>3612.8440237006225</v>
      </c>
      <c r="AA190" s="1531">
        <f t="shared" si="149"/>
        <v>0</v>
      </c>
      <c r="AB190" s="1531">
        <f t="shared" si="150"/>
        <v>19051.443704722002</v>
      </c>
      <c r="AC190" s="1531">
        <f t="shared" si="151"/>
        <v>73255.353199171484</v>
      </c>
      <c r="AD190" s="1487">
        <f t="shared" si="152"/>
        <v>2197.2289000563978</v>
      </c>
      <c r="AE190" s="1454">
        <f t="shared" si="153"/>
        <v>0.4971252131547429</v>
      </c>
      <c r="AF190" s="1504">
        <f t="shared" si="154"/>
        <v>0.19348732587975651</v>
      </c>
      <c r="AG190" s="1504">
        <f t="shared" si="155"/>
        <v>4.9318498456730989E-2</v>
      </c>
      <c r="AH190" s="1504">
        <f t="shared" si="167"/>
        <v>0</v>
      </c>
      <c r="AI190" s="1504">
        <f t="shared" si="156"/>
        <v>0.2600689625087696</v>
      </c>
      <c r="AJ190" s="1541">
        <f t="shared" si="157"/>
        <v>1</v>
      </c>
      <c r="AK190" s="1555">
        <f t="shared" si="158"/>
        <v>36417.083073864102</v>
      </c>
      <c r="AL190" s="1556">
        <f t="shared" si="159"/>
        <v>0</v>
      </c>
      <c r="AM190" s="1556">
        <f t="shared" si="160"/>
        <v>0</v>
      </c>
      <c r="AN190" s="1498">
        <f t="shared" si="161"/>
        <v>36417.083073864102</v>
      </c>
      <c r="AO190" s="1184">
        <f t="shared" si="162"/>
        <v>0</v>
      </c>
    </row>
    <row r="191" spans="1:41">
      <c r="A191" s="127">
        <f>'Input data'!A131</f>
        <v>2031</v>
      </c>
      <c r="B191" s="1551">
        <f>'Input data'!B131</f>
        <v>66.518977190687664</v>
      </c>
      <c r="C191" s="1550">
        <f>'Input data'!C131</f>
        <v>5387.7672265735409</v>
      </c>
      <c r="D191" s="1509">
        <f>'Input data'!E131</f>
        <v>44085520.531554446</v>
      </c>
      <c r="E191" s="1508">
        <f>'Input data'!J131*C191</f>
        <v>64820.473329555214</v>
      </c>
      <c r="F191" s="1509">
        <f>'Input data'!L131</f>
        <v>108905.99386110966</v>
      </c>
      <c r="G191" s="1509">
        <f>$G$150*(1+((($G$160/$G$150)^(1/($A$160-$A$150)))-1))^(A191-$A$150)</f>
        <v>33020.827958397946</v>
      </c>
      <c r="H191" s="1509">
        <f t="shared" si="135"/>
        <v>45545.777581030212</v>
      </c>
      <c r="I191" s="1511">
        <f t="shared" si="138"/>
        <v>44085.520531554444</v>
      </c>
      <c r="J191" s="1504">
        <f t="shared" ref="J191:J210" si="170">J190</f>
        <v>0.2</v>
      </c>
      <c r="K191" s="1512">
        <f t="shared" si="164"/>
        <v>6103.7400128029458</v>
      </c>
      <c r="L191" s="1512">
        <f t="shared" si="140"/>
        <v>0</v>
      </c>
      <c r="M191" s="1511">
        <f t="shared" si="165"/>
        <v>6103.7400128029458</v>
      </c>
      <c r="N191" s="1454">
        <f t="shared" si="169"/>
        <v>0.5</v>
      </c>
      <c r="O191" s="530">
        <f t="shared" si="141"/>
        <v>751.91700000000026</v>
      </c>
      <c r="P191" s="1481">
        <f t="shared" si="168"/>
        <v>6855.6570128029462</v>
      </c>
      <c r="Q191" s="1364">
        <f t="shared" si="142"/>
        <v>71710.948526625216</v>
      </c>
      <c r="R191" s="1364">
        <f t="shared" si="166"/>
        <v>38690.12056822727</v>
      </c>
      <c r="S191" s="576">
        <f t="shared" si="143"/>
        <v>1.0616748710159027</v>
      </c>
      <c r="T191" s="135" t="str">
        <f t="shared" si="144"/>
        <v>No</v>
      </c>
      <c r="U191" s="1091">
        <f t="shared" si="145"/>
        <v>1</v>
      </c>
      <c r="V191" s="1494">
        <f t="shared" si="136"/>
        <v>72463.461759728001</v>
      </c>
      <c r="W191" s="1491">
        <f t="shared" si="137"/>
        <v>0.33462375034984448</v>
      </c>
      <c r="X191" s="527">
        <f t="shared" si="146"/>
        <v>35268.416425243558</v>
      </c>
      <c r="Y191" s="1509">
        <f t="shared" si="147"/>
        <v>14007.807122641934</v>
      </c>
      <c r="Z191" s="1531">
        <f t="shared" si="148"/>
        <v>3681.1215820084799</v>
      </c>
      <c r="AA191" s="1531">
        <f t="shared" si="149"/>
        <v>0</v>
      </c>
      <c r="AB191" s="1531">
        <f t="shared" si="150"/>
        <v>19506.116629834032</v>
      </c>
      <c r="AC191" s="1531">
        <f t="shared" si="151"/>
        <v>72463.461759728001</v>
      </c>
      <c r="AD191" s="1487">
        <f t="shared" si="152"/>
        <v>2247.5884668456129</v>
      </c>
      <c r="AE191" s="1454">
        <f t="shared" si="153"/>
        <v>0.48670620432384848</v>
      </c>
      <c r="AF191" s="1504">
        <f t="shared" si="154"/>
        <v>0.19330855554608428</v>
      </c>
      <c r="AG191" s="1504">
        <f t="shared" si="155"/>
        <v>5.0799692598377695E-2</v>
      </c>
      <c r="AH191" s="1504">
        <f t="shared" si="167"/>
        <v>0</v>
      </c>
      <c r="AI191" s="1504">
        <f t="shared" si="156"/>
        <v>0.26918554753168961</v>
      </c>
      <c r="AJ191" s="1541">
        <f t="shared" si="157"/>
        <v>1</v>
      </c>
      <c r="AK191" s="1555">
        <f t="shared" si="158"/>
        <v>35268.416425243551</v>
      </c>
      <c r="AL191" s="1556">
        <f t="shared" si="159"/>
        <v>0</v>
      </c>
      <c r="AM191" s="1556">
        <f t="shared" si="160"/>
        <v>0</v>
      </c>
      <c r="AN191" s="1498">
        <f t="shared" si="161"/>
        <v>35268.416425243551</v>
      </c>
      <c r="AO191" s="1184">
        <f t="shared" si="162"/>
        <v>0</v>
      </c>
    </row>
    <row r="192" spans="1:41">
      <c r="A192" s="127">
        <f>'Input data'!A132</f>
        <v>2032</v>
      </c>
      <c r="B192" s="1551">
        <f>'Input data'!B132</f>
        <v>67.08666821358311</v>
      </c>
      <c r="C192" s="1550">
        <f>'Input data'!C132</f>
        <v>5535.3993263804541</v>
      </c>
      <c r="D192" s="1509">
        <f>'Input data'!E132</f>
        <v>41932973.31689404</v>
      </c>
      <c r="E192" s="1508">
        <f>'Input data'!J132*C192</f>
        <v>66596.641858314426</v>
      </c>
      <c r="F192" s="1509">
        <f>'Input data'!L132</f>
        <v>108529.61517520846</v>
      </c>
      <c r="G192" s="1509">
        <f t="shared" ref="G192:G199" si="171">$G$150*(1+((($G$160/$G$150)^(1/($A$160-$A$150)))-1))^(A192-$A$150)</f>
        <v>31863.814308498775</v>
      </c>
      <c r="H192" s="1509">
        <f t="shared" si="135"/>
        <v>45701.906577209891</v>
      </c>
      <c r="I192" s="1511">
        <f t="shared" si="138"/>
        <v>41932.973316894037</v>
      </c>
      <c r="J192" s="1504">
        <f t="shared" si="170"/>
        <v>0.2</v>
      </c>
      <c r="K192" s="1512">
        <f t="shared" si="164"/>
        <v>5805.7149831525367</v>
      </c>
      <c r="L192" s="1512">
        <f t="shared" si="140"/>
        <v>0</v>
      </c>
      <c r="M192" s="1511">
        <f t="shared" si="165"/>
        <v>5805.7149831525367</v>
      </c>
      <c r="N192" s="1454">
        <f t="shared" si="169"/>
        <v>0.5</v>
      </c>
      <c r="O192" s="530">
        <f t="shared" si="141"/>
        <v>751.91700000000026</v>
      </c>
      <c r="P192" s="1481">
        <f t="shared" si="168"/>
        <v>6557.631983152537</v>
      </c>
      <c r="Q192" s="1364">
        <f t="shared" si="142"/>
        <v>71008.088902556134</v>
      </c>
      <c r="R192" s="1364">
        <f t="shared" si="166"/>
        <v>39144.274594057359</v>
      </c>
      <c r="S192" s="576">
        <f t="shared" si="143"/>
        <v>1.0449142426715432</v>
      </c>
      <c r="T192" s="135" t="str">
        <f t="shared" si="144"/>
        <v>No</v>
      </c>
      <c r="U192" s="1091">
        <f t="shared" si="145"/>
        <v>1</v>
      </c>
      <c r="V192" s="1494">
        <f t="shared" si="136"/>
        <v>71067.904926167583</v>
      </c>
      <c r="W192" s="1491">
        <f t="shared" si="137"/>
        <v>0.34517500304929016</v>
      </c>
      <c r="X192" s="527">
        <f t="shared" si="146"/>
        <v>33546.378653515232</v>
      </c>
      <c r="Y192" s="1509">
        <f t="shared" si="147"/>
        <v>13719.529953961683</v>
      </c>
      <c r="Z192" s="1531">
        <f t="shared" si="148"/>
        <v>3761.3857443265993</v>
      </c>
      <c r="AA192" s="1531">
        <f t="shared" si="149"/>
        <v>0</v>
      </c>
      <c r="AB192" s="1531">
        <f t="shared" si="150"/>
        <v>20040.610574364066</v>
      </c>
      <c r="AC192" s="1531">
        <f t="shared" si="151"/>
        <v>71067.904926167583</v>
      </c>
      <c r="AD192" s="1487">
        <f t="shared" si="152"/>
        <v>1682.5643450164571</v>
      </c>
      <c r="AE192" s="1454">
        <f t="shared" si="153"/>
        <v>0.47203275076655982</v>
      </c>
      <c r="AF192" s="1504">
        <f t="shared" si="154"/>
        <v>0.19304818353960057</v>
      </c>
      <c r="AG192" s="1504">
        <f t="shared" si="155"/>
        <v>5.2926644569504355E-2</v>
      </c>
      <c r="AH192" s="1504">
        <f t="shared" si="167"/>
        <v>0</v>
      </c>
      <c r="AI192" s="1504">
        <f t="shared" si="156"/>
        <v>0.2819924211243352</v>
      </c>
      <c r="AJ192" s="1541">
        <f t="shared" si="157"/>
        <v>0.99999999999999989</v>
      </c>
      <c r="AK192" s="1555">
        <f t="shared" si="158"/>
        <v>33546.378653515225</v>
      </c>
      <c r="AL192" s="1556">
        <f t="shared" si="159"/>
        <v>0</v>
      </c>
      <c r="AM192" s="1556">
        <f t="shared" si="160"/>
        <v>0</v>
      </c>
      <c r="AN192" s="1498">
        <f t="shared" si="161"/>
        <v>33546.378653515225</v>
      </c>
      <c r="AO192" s="1184">
        <f t="shared" si="162"/>
        <v>0</v>
      </c>
    </row>
    <row r="193" spans="1:41">
      <c r="A193" s="127">
        <f>'Input data'!A133</f>
        <v>2033</v>
      </c>
      <c r="B193" s="1551">
        <f>'Input data'!B133</f>
        <v>67.659204065895452</v>
      </c>
      <c r="C193" s="1550">
        <f>'Input data'!C133</f>
        <v>5694.7516404688276</v>
      </c>
      <c r="D193" s="1509">
        <f>'Input data'!E133</f>
        <v>41056214.022582531</v>
      </c>
      <c r="E193" s="1508">
        <f>'Input data'!J133*C193</f>
        <v>68513.816819849919</v>
      </c>
      <c r="F193" s="1509">
        <f>'Input data'!L133</f>
        <v>109570.03084243245</v>
      </c>
      <c r="G193" s="1509">
        <f t="shared" si="171"/>
        <v>30747.341149823493</v>
      </c>
      <c r="H193" s="1509">
        <f t="shared" si="135"/>
        <v>47095.671636146159</v>
      </c>
      <c r="I193" s="1511">
        <f t="shared" si="138"/>
        <v>41056.214022582528</v>
      </c>
      <c r="J193" s="1504">
        <f t="shared" si="170"/>
        <v>0.2</v>
      </c>
      <c r="K193" s="1512">
        <f t="shared" si="164"/>
        <v>5684.3256761474004</v>
      </c>
      <c r="L193" s="1512">
        <f t="shared" si="140"/>
        <v>0</v>
      </c>
      <c r="M193" s="1511">
        <f t="shared" si="165"/>
        <v>5684.3256761474004</v>
      </c>
      <c r="N193" s="1454">
        <f t="shared" si="169"/>
        <v>0.5</v>
      </c>
      <c r="O193" s="530">
        <f t="shared" si="141"/>
        <v>751.91700000000026</v>
      </c>
      <c r="P193" s="1481">
        <f t="shared" si="168"/>
        <v>6436.2426761474007</v>
      </c>
      <c r="Q193" s="1364">
        <f t="shared" si="142"/>
        <v>71406.770109822246</v>
      </c>
      <c r="R193" s="1364">
        <f t="shared" si="166"/>
        <v>40659.428959998753</v>
      </c>
      <c r="S193" s="576">
        <f t="shared" si="143"/>
        <v>1.0543965823308872</v>
      </c>
      <c r="T193" s="135" t="str">
        <f t="shared" si="144"/>
        <v>No</v>
      </c>
      <c r="U193" s="1091">
        <f t="shared" si="145"/>
        <v>1</v>
      </c>
      <c r="V193" s="1494">
        <f t="shared" si="136"/>
        <v>71008.231950676243</v>
      </c>
      <c r="W193" s="1491">
        <f t="shared" si="137"/>
        <v>0.35193746497352119</v>
      </c>
      <c r="X193" s="527">
        <f t="shared" si="146"/>
        <v>32844.971218066021</v>
      </c>
      <c r="Y193" s="1509">
        <f t="shared" si="147"/>
        <v>13697.701902386038</v>
      </c>
      <c r="Z193" s="1531">
        <f t="shared" si="148"/>
        <v>3848.0219164089949</v>
      </c>
      <c r="AA193" s="1531">
        <f t="shared" si="149"/>
        <v>0</v>
      </c>
      <c r="AB193" s="1531">
        <f t="shared" si="150"/>
        <v>20617.53691381518</v>
      </c>
      <c r="AC193" s="1531">
        <f t="shared" si="151"/>
        <v>71008.231950676243</v>
      </c>
      <c r="AD193" s="1487">
        <f t="shared" si="152"/>
        <v>2097.6300682425281</v>
      </c>
      <c r="AE193" s="1454">
        <f t="shared" si="153"/>
        <v>0.4625515988185821</v>
      </c>
      <c r="AF193" s="1504">
        <f t="shared" si="154"/>
        <v>0.19290301315910441</v>
      </c>
      <c r="AG193" s="1504">
        <f t="shared" si="155"/>
        <v>5.4191208690872752E-2</v>
      </c>
      <c r="AH193" s="1504">
        <f t="shared" si="167"/>
        <v>0</v>
      </c>
      <c r="AI193" s="1504">
        <f t="shared" si="156"/>
        <v>0.29035417933144059</v>
      </c>
      <c r="AJ193" s="1541">
        <f t="shared" si="157"/>
        <v>0.99999999999999989</v>
      </c>
      <c r="AK193" s="1555">
        <f t="shared" si="158"/>
        <v>32844.971218066028</v>
      </c>
      <c r="AL193" s="1556">
        <f t="shared" si="159"/>
        <v>0</v>
      </c>
      <c r="AM193" s="1556">
        <f t="shared" si="160"/>
        <v>0</v>
      </c>
      <c r="AN193" s="1498">
        <f t="shared" si="161"/>
        <v>32844.971218066028</v>
      </c>
      <c r="AO193" s="1184">
        <f t="shared" si="162"/>
        <v>0</v>
      </c>
    </row>
    <row r="194" spans="1:41">
      <c r="A194" s="127">
        <f>'Input data'!A134</f>
        <v>2034</v>
      </c>
      <c r="B194" s="1551">
        <f>'Input data'!B134</f>
        <v>68.236626094715163</v>
      </c>
      <c r="C194" s="1550">
        <f>'Input data'!C134</f>
        <v>5880.7243334969316</v>
      </c>
      <c r="D194" s="1509">
        <f>'Input data'!E134</f>
        <v>40488564.369250603</v>
      </c>
      <c r="E194" s="1508">
        <f>'Input data'!J134*C194</f>
        <v>70751.262775012379</v>
      </c>
      <c r="F194" s="1509">
        <f>'Input data'!L134</f>
        <v>111239.82714426299</v>
      </c>
      <c r="G194" s="1509">
        <f t="shared" si="171"/>
        <v>29669.987987956312</v>
      </c>
      <c r="H194" s="1509">
        <f t="shared" si="135"/>
        <v>48924.175116262835</v>
      </c>
      <c r="I194" s="1511">
        <f t="shared" si="138"/>
        <v>40488.564369250606</v>
      </c>
      <c r="J194" s="1504">
        <f t="shared" si="170"/>
        <v>0.2</v>
      </c>
      <c r="K194" s="1512">
        <f t="shared" si="164"/>
        <v>5605.7332979579269</v>
      </c>
      <c r="L194" s="1512">
        <f t="shared" si="140"/>
        <v>0</v>
      </c>
      <c r="M194" s="1511">
        <f t="shared" si="165"/>
        <v>5605.7332979579269</v>
      </c>
      <c r="N194" s="1454">
        <f t="shared" si="169"/>
        <v>0.5</v>
      </c>
      <c r="O194" s="530">
        <f t="shared" si="141"/>
        <v>751.91700000000026</v>
      </c>
      <c r="P194" s="1481">
        <f t="shared" si="168"/>
        <v>6357.6502979579273</v>
      </c>
      <c r="Q194" s="1364">
        <f t="shared" si="142"/>
        <v>72236.51280626122</v>
      </c>
      <c r="R194" s="1364">
        <f t="shared" si="166"/>
        <v>42566.524818304912</v>
      </c>
      <c r="S194" s="576">
        <f t="shared" si="143"/>
        <v>1.0682850633652943</v>
      </c>
      <c r="T194" s="135" t="str">
        <f t="shared" si="144"/>
        <v>No</v>
      </c>
      <c r="U194" s="1091">
        <f t="shared" si="145"/>
        <v>1</v>
      </c>
      <c r="V194" s="1494">
        <f t="shared" si="136"/>
        <v>71394.16583340225</v>
      </c>
      <c r="W194" s="1491">
        <f t="shared" si="137"/>
        <v>0.35819600168190047</v>
      </c>
      <c r="X194" s="527">
        <f t="shared" si="146"/>
        <v>32390.851495400486</v>
      </c>
      <c r="Y194" s="1509">
        <f t="shared" si="147"/>
        <v>13763.342484858193</v>
      </c>
      <c r="Z194" s="1531">
        <f t="shared" si="148"/>
        <v>3949.1309735819841</v>
      </c>
      <c r="AA194" s="1531">
        <f t="shared" si="149"/>
        <v>0</v>
      </c>
      <c r="AB194" s="1531">
        <f t="shared" si="150"/>
        <v>21290.840879561598</v>
      </c>
      <c r="AC194" s="1531">
        <f t="shared" si="151"/>
        <v>71394.16583340225</v>
      </c>
      <c r="AD194" s="1487">
        <f t="shared" si="152"/>
        <v>2720.8635074441736</v>
      </c>
      <c r="AE194" s="1454">
        <f t="shared" si="153"/>
        <v>0.45369045379680317</v>
      </c>
      <c r="AF194" s="1504">
        <f t="shared" si="154"/>
        <v>0.19277965256957899</v>
      </c>
      <c r="AG194" s="1504">
        <f t="shared" si="155"/>
        <v>5.5314477415385054E-2</v>
      </c>
      <c r="AH194" s="1504">
        <f t="shared" si="167"/>
        <v>0</v>
      </c>
      <c r="AI194" s="1504">
        <f t="shared" si="156"/>
        <v>0.29821541621823294</v>
      </c>
      <c r="AJ194" s="1541">
        <f t="shared" si="157"/>
        <v>1.0000000000000002</v>
      </c>
      <c r="AK194" s="1555">
        <f t="shared" si="158"/>
        <v>32390.851495400482</v>
      </c>
      <c r="AL194" s="1556">
        <f t="shared" si="159"/>
        <v>0</v>
      </c>
      <c r="AM194" s="1556">
        <f t="shared" si="160"/>
        <v>0</v>
      </c>
      <c r="AN194" s="1498">
        <f t="shared" si="161"/>
        <v>32390.851495400482</v>
      </c>
      <c r="AO194" s="1184">
        <f t="shared" si="162"/>
        <v>0</v>
      </c>
    </row>
    <row r="195" spans="1:41">
      <c r="A195" s="127">
        <f>'Input data'!A135</f>
        <v>2035</v>
      </c>
      <c r="B195" s="1551">
        <f>'Input data'!B135</f>
        <v>68.818976000000006</v>
      </c>
      <c r="C195" s="1550">
        <f>'Input data'!C135</f>
        <v>6030.7021264561972</v>
      </c>
      <c r="D195" s="1509">
        <f>'Input data'!E135</f>
        <v>31941700.142198853</v>
      </c>
      <c r="E195" s="1508">
        <f>'Input data'!J135*C195</f>
        <v>72555.652445114043</v>
      </c>
      <c r="F195" s="1509">
        <f>'Input data'!L135</f>
        <v>104497.3525873129</v>
      </c>
      <c r="G195" s="1509">
        <f t="shared" si="171"/>
        <v>28630.384101050156</v>
      </c>
      <c r="H195" s="1509">
        <f t="shared" si="135"/>
        <v>42978.326580860892</v>
      </c>
      <c r="I195" s="1511">
        <f t="shared" si="138"/>
        <v>31941.700142198853</v>
      </c>
      <c r="J195" s="1504">
        <f t="shared" si="170"/>
        <v>0.2</v>
      </c>
      <c r="K195" s="1512">
        <f t="shared" si="164"/>
        <v>4422.4006178025347</v>
      </c>
      <c r="L195" s="1512">
        <f t="shared" si="140"/>
        <v>0</v>
      </c>
      <c r="M195" s="1511">
        <f t="shared" si="165"/>
        <v>4422.4006178025347</v>
      </c>
      <c r="N195" s="1454">
        <f t="shared" si="169"/>
        <v>0.5</v>
      </c>
      <c r="O195" s="530">
        <f t="shared" si="141"/>
        <v>751.91700000000026</v>
      </c>
      <c r="P195" s="1481">
        <f t="shared" si="168"/>
        <v>5174.3176178025351</v>
      </c>
      <c r="Q195" s="1364">
        <f t="shared" si="142"/>
        <v>66434.393064108517</v>
      </c>
      <c r="R195" s="1364">
        <f t="shared" si="166"/>
        <v>37804.008963058361</v>
      </c>
      <c r="S195" s="576">
        <f t="shared" si="143"/>
        <v>0.92473223484768219</v>
      </c>
      <c r="T195" s="135" t="str">
        <f t="shared" si="144"/>
        <v>Yes</v>
      </c>
      <c r="U195" s="1091">
        <f t="shared" si="145"/>
        <v>0.92473223484768219</v>
      </c>
      <c r="V195" s="1494">
        <f t="shared" si="136"/>
        <v>66693.343624254543</v>
      </c>
      <c r="W195" s="1491">
        <f t="shared" si="137"/>
        <v>0.36177001643626483</v>
      </c>
      <c r="X195" s="527">
        <f t="shared" si="146"/>
        <v>28630.384101050153</v>
      </c>
      <c r="Y195" s="1509">
        <f t="shared" si="147"/>
        <v>12198.461810241093</v>
      </c>
      <c r="Z195" s="1531">
        <f t="shared" si="148"/>
        <v>4030.6704350808041</v>
      </c>
      <c r="AA195" s="1531">
        <f t="shared" si="149"/>
        <v>0</v>
      </c>
      <c r="AB195" s="1531">
        <f t="shared" si="150"/>
        <v>21833.82727788249</v>
      </c>
      <c r="AC195" s="1531">
        <f t="shared" si="151"/>
        <v>66693.343624254543</v>
      </c>
      <c r="AD195" s="1487">
        <f t="shared" si="152"/>
        <v>0</v>
      </c>
      <c r="AE195" s="1454">
        <f t="shared" si="153"/>
        <v>0.42928398165717496</v>
      </c>
      <c r="AF195" s="1504">
        <f t="shared" si="154"/>
        <v>0.18290373742492716</v>
      </c>
      <c r="AG195" s="1504">
        <f t="shared" si="155"/>
        <v>6.0435872847960793E-2</v>
      </c>
      <c r="AH195" s="1504">
        <f t="shared" si="167"/>
        <v>0</v>
      </c>
      <c r="AI195" s="1504">
        <f t="shared" si="156"/>
        <v>0.32737640806993706</v>
      </c>
      <c r="AJ195" s="1541">
        <f t="shared" si="157"/>
        <v>1</v>
      </c>
      <c r="AK195" s="1555">
        <f t="shared" si="158"/>
        <v>25553.360113759081</v>
      </c>
      <c r="AL195" s="1556">
        <f t="shared" si="159"/>
        <v>2914.6571096122816</v>
      </c>
      <c r="AM195" s="1556">
        <f t="shared" si="160"/>
        <v>162.36687767878553</v>
      </c>
      <c r="AN195" s="1498">
        <f t="shared" si="161"/>
        <v>28630.384101050149</v>
      </c>
      <c r="AO195" s="1184">
        <f t="shared" si="162"/>
        <v>0</v>
      </c>
    </row>
    <row r="196" spans="1:41">
      <c r="A196" s="127">
        <f>'Input data'!A136</f>
        <v>2036</v>
      </c>
      <c r="B196" s="1551">
        <f>'Input data'!B136</f>
        <v>69.322810489383542</v>
      </c>
      <c r="C196" s="1550">
        <f>'Input data'!C136</f>
        <v>6175.9287194301432</v>
      </c>
      <c r="D196" s="1509">
        <f>'Input data'!E136</f>
        <v>22500187.169642892</v>
      </c>
      <c r="E196" s="1508">
        <f>'Input data'!J136*C196</f>
        <v>74302.880211410215</v>
      </c>
      <c r="F196" s="1509">
        <f>'Input data'!L136</f>
        <v>96803.067381053115</v>
      </c>
      <c r="G196" s="1509">
        <f t="shared" si="171"/>
        <v>27627.206795850379</v>
      </c>
      <c r="H196" s="1509">
        <f t="shared" si="135"/>
        <v>36123.666417989705</v>
      </c>
      <c r="I196" s="1511">
        <f t="shared" si="138"/>
        <v>22500.187169642893</v>
      </c>
      <c r="J196" s="1504">
        <f t="shared" si="170"/>
        <v>0.2</v>
      </c>
      <c r="K196" s="1512">
        <f t="shared" si="164"/>
        <v>3115.201795669087</v>
      </c>
      <c r="L196" s="1512">
        <f t="shared" si="140"/>
        <v>0</v>
      </c>
      <c r="M196" s="1511">
        <f t="shared" si="165"/>
        <v>3115.201795669087</v>
      </c>
      <c r="N196" s="1454">
        <f t="shared" si="169"/>
        <v>0.5</v>
      </c>
      <c r="O196" s="530">
        <f t="shared" si="141"/>
        <v>751.91700000000026</v>
      </c>
      <c r="P196" s="1481">
        <f t="shared" si="168"/>
        <v>3867.1187956690874</v>
      </c>
      <c r="Q196" s="1364">
        <f t="shared" si="142"/>
        <v>59883.754418170996</v>
      </c>
      <c r="R196" s="1364">
        <f t="shared" si="166"/>
        <v>32256.547622320617</v>
      </c>
      <c r="S196" s="576">
        <f t="shared" si="143"/>
        <v>0.77014736116615956</v>
      </c>
      <c r="T196" s="135" t="str">
        <f t="shared" si="144"/>
        <v>Yes</v>
      </c>
      <c r="U196" s="1091">
        <f t="shared" si="145"/>
        <v>0.77014736116615956</v>
      </c>
      <c r="V196" s="1494">
        <f t="shared" si="136"/>
        <v>64546.519758732502</v>
      </c>
      <c r="W196" s="1491">
        <f t="shared" si="137"/>
        <v>0.33321823879140899</v>
      </c>
      <c r="X196" s="527">
        <f t="shared" si="146"/>
        <v>27627.206795850379</v>
      </c>
      <c r="Y196" s="1509">
        <f t="shared" si="147"/>
        <v>10450.073967518601</v>
      </c>
      <c r="Z196" s="1531">
        <f t="shared" si="148"/>
        <v>4109.6267789017866</v>
      </c>
      <c r="AA196" s="1531">
        <f t="shared" si="149"/>
        <v>0</v>
      </c>
      <c r="AB196" s="1531">
        <f t="shared" si="150"/>
        <v>22359.612216461734</v>
      </c>
      <c r="AC196" s="1531">
        <f t="shared" si="151"/>
        <v>64546.519758732502</v>
      </c>
      <c r="AD196" s="1487">
        <f t="shared" si="152"/>
        <v>0</v>
      </c>
      <c r="AE196" s="1454">
        <f t="shared" si="153"/>
        <v>0.42802008379565176</v>
      </c>
      <c r="AF196" s="1504">
        <f t="shared" si="154"/>
        <v>0.16189988254331575</v>
      </c>
      <c r="AG196" s="1504">
        <f t="shared" si="155"/>
        <v>6.3669223286756602E-2</v>
      </c>
      <c r="AH196" s="1504">
        <f t="shared" si="167"/>
        <v>0</v>
      </c>
      <c r="AI196" s="1504">
        <f t="shared" si="156"/>
        <v>0.34641081037427585</v>
      </c>
      <c r="AJ196" s="1541">
        <f t="shared" si="157"/>
        <v>1</v>
      </c>
      <c r="AK196" s="1555">
        <f t="shared" si="158"/>
        <v>18000.149735714313</v>
      </c>
      <c r="AL196" s="1556">
        <f t="shared" si="159"/>
        <v>9115.1189399300965</v>
      </c>
      <c r="AM196" s="1556">
        <f t="shared" si="160"/>
        <v>511.93812020596414</v>
      </c>
      <c r="AN196" s="1498">
        <f t="shared" si="161"/>
        <v>27627.206795850372</v>
      </c>
      <c r="AO196" s="1184">
        <f t="shared" si="162"/>
        <v>0</v>
      </c>
    </row>
    <row r="197" spans="1:41">
      <c r="A197" s="127">
        <f>'Input data'!A137</f>
        <v>2037</v>
      </c>
      <c r="B197" s="1551">
        <f>'Input data'!B137</f>
        <v>69.830333629884052</v>
      </c>
      <c r="C197" s="1550">
        <f>'Input data'!C137</f>
        <v>6338.2033947034479</v>
      </c>
      <c r="D197" s="1509">
        <f>'Input data'!E137</f>
        <v>17781297.212015409</v>
      </c>
      <c r="E197" s="1508">
        <f>'Input data'!J137*C197</f>
        <v>76255.214233699648</v>
      </c>
      <c r="F197" s="1509">
        <f>'Input data'!L137</f>
        <v>94036.511445715063</v>
      </c>
      <c r="G197" s="1509">
        <f t="shared" si="171"/>
        <v>26659.179724825448</v>
      </c>
      <c r="H197" s="1509">
        <f t="shared" si="135"/>
        <v>33783.503699057852</v>
      </c>
      <c r="I197" s="1511">
        <f t="shared" si="138"/>
        <v>17781.297212015408</v>
      </c>
      <c r="J197" s="1504">
        <f t="shared" si="170"/>
        <v>0.2</v>
      </c>
      <c r="K197" s="1512">
        <f t="shared" si="164"/>
        <v>2461.8608097150009</v>
      </c>
      <c r="L197" s="1512">
        <f t="shared" si="140"/>
        <v>0</v>
      </c>
      <c r="M197" s="1511">
        <f t="shared" si="165"/>
        <v>2461.8608097150009</v>
      </c>
      <c r="N197" s="1454">
        <f t="shared" si="169"/>
        <v>0.5</v>
      </c>
      <c r="O197" s="530">
        <f t="shared" si="141"/>
        <v>751.91700000000026</v>
      </c>
      <c r="P197" s="1481">
        <f t="shared" si="168"/>
        <v>3213.7778097150012</v>
      </c>
      <c r="Q197" s="1364">
        <f t="shared" si="142"/>
        <v>57228.905614168296</v>
      </c>
      <c r="R197" s="1364">
        <f t="shared" si="166"/>
        <v>30569.725889342848</v>
      </c>
      <c r="S197" s="576">
        <f t="shared" si="143"/>
        <v>0.71085991613223665</v>
      </c>
      <c r="T197" s="135" t="str">
        <f t="shared" si="144"/>
        <v>Yes</v>
      </c>
      <c r="U197" s="1091">
        <f t="shared" si="145"/>
        <v>0.71085991613223665</v>
      </c>
      <c r="V197" s="1494">
        <f t="shared" si="136"/>
        <v>63466.785556372226</v>
      </c>
      <c r="W197" s="1491">
        <f t="shared" si="137"/>
        <v>0.32508358104064694</v>
      </c>
      <c r="X197" s="527">
        <f t="shared" si="146"/>
        <v>26659.179724825452</v>
      </c>
      <c r="Y197" s="1509">
        <f t="shared" si="147"/>
        <v>9662.6352555114918</v>
      </c>
      <c r="Z197" s="1531">
        <f t="shared" si="148"/>
        <v>4197.8517712529874</v>
      </c>
      <c r="AA197" s="1531">
        <f t="shared" si="149"/>
        <v>0</v>
      </c>
      <c r="AB197" s="1531">
        <f t="shared" si="150"/>
        <v>22947.118804782291</v>
      </c>
      <c r="AC197" s="1531">
        <f t="shared" si="151"/>
        <v>63466.785556372226</v>
      </c>
      <c r="AD197" s="1487">
        <f t="shared" si="152"/>
        <v>0</v>
      </c>
      <c r="AE197" s="1454">
        <f t="shared" si="153"/>
        <v>0.42004931384379529</v>
      </c>
      <c r="AF197" s="1504">
        <f t="shared" si="154"/>
        <v>0.1522471190372322</v>
      </c>
      <c r="AG197" s="1504">
        <f t="shared" si="155"/>
        <v>6.6142498543972861E-2</v>
      </c>
      <c r="AH197" s="1504">
        <f t="shared" si="167"/>
        <v>0</v>
      </c>
      <c r="AI197" s="1504">
        <f t="shared" si="156"/>
        <v>0.36156106857499959</v>
      </c>
      <c r="AJ197" s="1541">
        <f t="shared" si="157"/>
        <v>0.99999999999999989</v>
      </c>
      <c r="AK197" s="1555">
        <f t="shared" si="158"/>
        <v>14225.037769612327</v>
      </c>
      <c r="AL197" s="1556">
        <f t="shared" si="159"/>
        <v>11767.522718222077</v>
      </c>
      <c r="AM197" s="1556">
        <f t="shared" si="160"/>
        <v>666.61923699104568</v>
      </c>
      <c r="AN197" s="1498">
        <f t="shared" si="161"/>
        <v>26659.179724825448</v>
      </c>
      <c r="AO197" s="1184">
        <f t="shared" si="162"/>
        <v>0</v>
      </c>
    </row>
    <row r="198" spans="1:41">
      <c r="A198" s="127">
        <f>'Input data'!A138</f>
        <v>2038</v>
      </c>
      <c r="B198" s="1551">
        <f>'Input data'!B138</f>
        <v>70.341572426693446</v>
      </c>
      <c r="C198" s="1550">
        <f>'Input data'!C138</f>
        <v>6499.2753713641341</v>
      </c>
      <c r="D198" s="1509">
        <f>'Input data'!E138</f>
        <v>14837853.800490763</v>
      </c>
      <c r="E198" s="1508">
        <f>'Input data'!J138*C198</f>
        <v>78193.078534105356</v>
      </c>
      <c r="F198" s="1509">
        <f>'Input data'!L138</f>
        <v>93030.932334596117</v>
      </c>
      <c r="G198" s="1509">
        <f t="shared" si="171"/>
        <v>25725.071262263602</v>
      </c>
      <c r="H198" s="1509">
        <f t="shared" si="135"/>
        <v>33067.291368418984</v>
      </c>
      <c r="I198" s="1511">
        <f t="shared" si="138"/>
        <v>14837.853800490762</v>
      </c>
      <c r="J198" s="1504">
        <f t="shared" si="170"/>
        <v>0.2</v>
      </c>
      <c r="K198" s="1512">
        <f t="shared" si="164"/>
        <v>2054.3344130722548</v>
      </c>
      <c r="L198" s="1512">
        <f t="shared" si="140"/>
        <v>0</v>
      </c>
      <c r="M198" s="1511">
        <f t="shared" si="165"/>
        <v>2054.3344130722548</v>
      </c>
      <c r="N198" s="1454">
        <f t="shared" si="169"/>
        <v>0.5</v>
      </c>
      <c r="O198" s="530">
        <f t="shared" si="141"/>
        <v>751.91700000000026</v>
      </c>
      <c r="P198" s="1481">
        <f t="shared" si="168"/>
        <v>2806.2514130722552</v>
      </c>
      <c r="Q198" s="1364">
        <f t="shared" si="142"/>
        <v>55986.111217610334</v>
      </c>
      <c r="R198" s="1364">
        <f t="shared" si="166"/>
        <v>30261.039955346732</v>
      </c>
      <c r="S198" s="576">
        <f t="shared" si="143"/>
        <v>0.68594518579102925</v>
      </c>
      <c r="T198" s="135" t="str">
        <f t="shared" si="144"/>
        <v>Yes</v>
      </c>
      <c r="U198" s="1091">
        <f t="shared" si="145"/>
        <v>0.68594518579102925</v>
      </c>
      <c r="V198" s="1494">
        <f t="shared" si="136"/>
        <v>62769.892379249388</v>
      </c>
      <c r="W198" s="1491">
        <f t="shared" si="137"/>
        <v>0.32527933662439845</v>
      </c>
      <c r="X198" s="527">
        <f t="shared" si="146"/>
        <v>25725.071262263598</v>
      </c>
      <c r="Y198" s="1509">
        <f t="shared" si="147"/>
        <v>9229.1271442927318</v>
      </c>
      <c r="Z198" s="1531">
        <f t="shared" si="148"/>
        <v>4285.4228841512158</v>
      </c>
      <c r="AA198" s="1531">
        <f t="shared" si="149"/>
        <v>0</v>
      </c>
      <c r="AB198" s="1531">
        <f t="shared" si="150"/>
        <v>23530.271088541846</v>
      </c>
      <c r="AC198" s="1531">
        <f t="shared" si="151"/>
        <v>62769.892379249388</v>
      </c>
      <c r="AD198" s="1487">
        <f t="shared" si="152"/>
        <v>0</v>
      </c>
      <c r="AE198" s="1454">
        <f t="shared" si="153"/>
        <v>0.4098313743607413</v>
      </c>
      <c r="AF198" s="1504">
        <f t="shared" si="154"/>
        <v>0.14703111307776778</v>
      </c>
      <c r="AG198" s="1504">
        <f t="shared" si="155"/>
        <v>6.8271948886882275E-2</v>
      </c>
      <c r="AH198" s="1504">
        <f t="shared" si="167"/>
        <v>0</v>
      </c>
      <c r="AI198" s="1504">
        <f t="shared" si="156"/>
        <v>0.37486556367460866</v>
      </c>
      <c r="AJ198" s="1541">
        <f t="shared" si="157"/>
        <v>1</v>
      </c>
      <c r="AK198" s="1555">
        <f t="shared" si="158"/>
        <v>11870.283040392609</v>
      </c>
      <c r="AL198" s="1556">
        <f t="shared" si="159"/>
        <v>13106.3259481771</v>
      </c>
      <c r="AM198" s="1556">
        <f t="shared" si="160"/>
        <v>748.46227369388555</v>
      </c>
      <c r="AN198" s="1498">
        <f t="shared" si="161"/>
        <v>25725.071262263595</v>
      </c>
      <c r="AO198" s="1184">
        <f t="shared" si="162"/>
        <v>0</v>
      </c>
    </row>
    <row r="199" spans="1:41">
      <c r="A199" s="127">
        <f>'Input data'!A139</f>
        <v>2039</v>
      </c>
      <c r="B199" s="1551">
        <f>'Input data'!B139</f>
        <v>70.856554082712819</v>
      </c>
      <c r="C199" s="1550">
        <f>'Input data'!C139</f>
        <v>6668.6889746882025</v>
      </c>
      <c r="D199" s="1509">
        <f>'Input data'!E139</f>
        <v>11894410.388966125</v>
      </c>
      <c r="E199" s="1508">
        <f>'Input data'!J139*C199</f>
        <v>80231.30132550007</v>
      </c>
      <c r="F199" s="1509">
        <f>'Input data'!L139</f>
        <v>92125.71171446619</v>
      </c>
      <c r="G199" s="1509">
        <f t="shared" si="171"/>
        <v>24823.692937269236</v>
      </c>
      <c r="H199" s="1509">
        <f t="shared" si="135"/>
        <v>32375.935316868457</v>
      </c>
      <c r="I199" s="1511">
        <f t="shared" si="138"/>
        <v>11894.410388966124</v>
      </c>
      <c r="J199" s="1504">
        <f t="shared" si="170"/>
        <v>0.2</v>
      </c>
      <c r="K199" s="1512">
        <f t="shared" si="164"/>
        <v>1646.8080164295093</v>
      </c>
      <c r="L199" s="1512">
        <f t="shared" si="140"/>
        <v>0</v>
      </c>
      <c r="M199" s="1511">
        <f t="shared" si="165"/>
        <v>1646.8080164295093</v>
      </c>
      <c r="N199" s="1454">
        <f t="shared" si="169"/>
        <v>0.5</v>
      </c>
      <c r="O199" s="530">
        <f t="shared" si="141"/>
        <v>751.91700000000026</v>
      </c>
      <c r="P199" s="1481">
        <f t="shared" si="168"/>
        <v>2398.7250164295097</v>
      </c>
      <c r="Q199" s="1364">
        <f t="shared" si="142"/>
        <v>54800.903237708182</v>
      </c>
      <c r="R199" s="1364">
        <f t="shared" si="166"/>
        <v>29977.210300438946</v>
      </c>
      <c r="S199" s="576">
        <f t="shared" si="143"/>
        <v>0.66196228581677463</v>
      </c>
      <c r="T199" s="135" t="str">
        <f t="shared" si="144"/>
        <v>Yes</v>
      </c>
      <c r="U199" s="1091">
        <f t="shared" si="145"/>
        <v>0.66196228581677463</v>
      </c>
      <c r="V199" s="1494">
        <f t="shared" si="136"/>
        <v>62148.501414027254</v>
      </c>
      <c r="W199" s="1491">
        <f t="shared" si="137"/>
        <v>0.32539461288885452</v>
      </c>
      <c r="X199" s="527">
        <f t="shared" si="146"/>
        <v>24823.692937269232</v>
      </c>
      <c r="Y199" s="1509">
        <f t="shared" si="147"/>
        <v>8803.6555544866223</v>
      </c>
      <c r="Z199" s="1531">
        <f t="shared" si="148"/>
        <v>4377.5291467721845</v>
      </c>
      <c r="AA199" s="1531">
        <f t="shared" si="149"/>
        <v>0</v>
      </c>
      <c r="AB199" s="1531">
        <f t="shared" si="150"/>
        <v>24143.623775499214</v>
      </c>
      <c r="AC199" s="1531">
        <f t="shared" si="151"/>
        <v>62148.501414027254</v>
      </c>
      <c r="AD199" s="1487">
        <f t="shared" si="152"/>
        <v>0</v>
      </c>
      <c r="AE199" s="1454">
        <f t="shared" si="153"/>
        <v>0.39942544667161339</v>
      </c>
      <c r="AF199" s="1504">
        <f t="shared" si="154"/>
        <v>0.14165515425444497</v>
      </c>
      <c r="AG199" s="1504">
        <f t="shared" si="155"/>
        <v>7.0436600194259111E-2</v>
      </c>
      <c r="AH199" s="1504">
        <f t="shared" si="167"/>
        <v>0</v>
      </c>
      <c r="AI199" s="1504">
        <f t="shared" si="156"/>
        <v>0.38848279887968251</v>
      </c>
      <c r="AJ199" s="1541">
        <f t="shared" si="157"/>
        <v>1</v>
      </c>
      <c r="AK199" s="1555">
        <f t="shared" si="158"/>
        <v>9515.5283111728986</v>
      </c>
      <c r="AL199" s="1556">
        <f t="shared" si="159"/>
        <v>14474.920593165903</v>
      </c>
      <c r="AM199" s="1556">
        <f t="shared" si="160"/>
        <v>833.24403293042724</v>
      </c>
      <c r="AN199" s="1498">
        <f t="shared" si="161"/>
        <v>24823.692937269228</v>
      </c>
      <c r="AO199" s="1184">
        <f t="shared" si="162"/>
        <v>0</v>
      </c>
    </row>
    <row r="200" spans="1:41">
      <c r="A200" s="127">
        <f>'Input data'!A140</f>
        <v>2040</v>
      </c>
      <c r="B200" s="1551">
        <f>'Input data'!B140</f>
        <v>71.375305999999995</v>
      </c>
      <c r="C200" s="1550">
        <f>'Input data'!C140</f>
        <v>6840.2471934556306</v>
      </c>
      <c r="D200" s="1509">
        <f>'Input data'!E140</f>
        <v>8950966.9774414804</v>
      </c>
      <c r="E200" s="1508">
        <f>'Input data'!J140*C200</f>
        <v>82295.326083145788</v>
      </c>
      <c r="F200" s="1509">
        <f>'Input data'!L140</f>
        <v>91246.293060587268</v>
      </c>
      <c r="G200" s="1509">
        <f>G177*(1-$C$5)</f>
        <v>23953.89792166539</v>
      </c>
      <c r="H200" s="1509">
        <f t="shared" si="135"/>
        <v>31667.801307865499</v>
      </c>
      <c r="I200" s="1511">
        <f t="shared" si="138"/>
        <v>8950.9669774414797</v>
      </c>
      <c r="J200" s="1504">
        <f t="shared" si="170"/>
        <v>0.2</v>
      </c>
      <c r="K200" s="1512">
        <f t="shared" si="164"/>
        <v>1239.2816197867635</v>
      </c>
      <c r="L200" s="1512">
        <f t="shared" si="140"/>
        <v>0</v>
      </c>
      <c r="M200" s="1511">
        <f t="shared" si="165"/>
        <v>1239.2816197867635</v>
      </c>
      <c r="N200" s="1454">
        <f t="shared" si="169"/>
        <v>0.5</v>
      </c>
      <c r="O200" s="530">
        <f t="shared" si="141"/>
        <v>751.91700000000026</v>
      </c>
      <c r="P200" s="1481">
        <f t="shared" si="168"/>
        <v>1991.1986197867636</v>
      </c>
      <c r="Q200" s="1364">
        <f t="shared" si="142"/>
        <v>53630.500609744122</v>
      </c>
      <c r="R200" s="1364">
        <f t="shared" si="166"/>
        <v>29676.602688078732</v>
      </c>
      <c r="S200" s="576">
        <f t="shared" si="143"/>
        <v>0.63862227273964445</v>
      </c>
      <c r="T200" s="135" t="str">
        <f t="shared" si="144"/>
        <v>Yes</v>
      </c>
      <c r="U200" s="1091">
        <f t="shared" si="145"/>
        <v>0.63862227273964445</v>
      </c>
      <c r="V200" s="1494">
        <f t="shared" si="136"/>
        <v>61569.690372508543</v>
      </c>
      <c r="W200" s="1491">
        <f t="shared" si="137"/>
        <v>0.32523625555257951</v>
      </c>
      <c r="X200" s="527">
        <f t="shared" si="146"/>
        <v>23953.897921665393</v>
      </c>
      <c r="Y200" s="1509">
        <f t="shared" si="147"/>
        <v>8380.2501381773545</v>
      </c>
      <c r="Z200" s="1531">
        <f t="shared" si="148"/>
        <v>4470.8013872684305</v>
      </c>
      <c r="AA200" s="1531">
        <f t="shared" si="149"/>
        <v>0</v>
      </c>
      <c r="AB200" s="1531">
        <f t="shared" si="150"/>
        <v>24764.740925397364</v>
      </c>
      <c r="AC200" s="1531">
        <f t="shared" si="151"/>
        <v>61569.690372508543</v>
      </c>
      <c r="AD200" s="1487">
        <f t="shared" si="152"/>
        <v>0</v>
      </c>
      <c r="AE200" s="1454">
        <f t="shared" si="153"/>
        <v>0.38905340885652784</v>
      </c>
      <c r="AF200" s="1504">
        <f t="shared" si="154"/>
        <v>0.13610999320404601</v>
      </c>
      <c r="AG200" s="1504">
        <f t="shared" si="155"/>
        <v>7.2613673387330949E-2</v>
      </c>
      <c r="AH200" s="1504">
        <f t="shared" si="167"/>
        <v>0</v>
      </c>
      <c r="AI200" s="1504">
        <f t="shared" si="156"/>
        <v>0.40222292455209518</v>
      </c>
      <c r="AJ200" s="1541">
        <f t="shared" si="157"/>
        <v>1</v>
      </c>
      <c r="AK200" s="1555">
        <f t="shared" si="158"/>
        <v>7160.7735819531845</v>
      </c>
      <c r="AL200" s="1556">
        <f t="shared" si="159"/>
        <v>15872.442040094993</v>
      </c>
      <c r="AM200" s="1556">
        <f t="shared" si="160"/>
        <v>920.68229961721556</v>
      </c>
      <c r="AN200" s="1498">
        <f t="shared" si="161"/>
        <v>23953.897921665393</v>
      </c>
      <c r="AO200" s="1184">
        <f t="shared" si="162"/>
        <v>0</v>
      </c>
    </row>
    <row r="201" spans="1:41">
      <c r="A201" s="127">
        <f>'Input data'!A141</f>
        <v>2041</v>
      </c>
      <c r="B201" s="1551">
        <f>'Input data'!B141</f>
        <v>71.818612994947316</v>
      </c>
      <c r="C201" s="1550">
        <f>'Input data'!C141</f>
        <v>7028.9784058300729</v>
      </c>
      <c r="D201" s="1509">
        <f>'Input data'!E141</f>
        <v>7408427.529416549</v>
      </c>
      <c r="E201" s="1508">
        <f>'Input data'!J141*C201</f>
        <v>84565.959910426493</v>
      </c>
      <c r="F201" s="1509">
        <f>'Input data'!L141</f>
        <v>91974.387439843034</v>
      </c>
      <c r="G201" s="1509">
        <f>$G$160*(1+((($G$170/$G$160)^(1/($A$170-$A$160)))-1))^(A201-$A$160)</f>
        <v>22650.218174049241</v>
      </c>
      <c r="H201" s="1509">
        <f t="shared" si="135"/>
        <v>32826.787278591451</v>
      </c>
      <c r="I201" s="1511">
        <f t="shared" si="138"/>
        <v>7408.4275294165491</v>
      </c>
      <c r="J201" s="1504">
        <f t="shared" si="170"/>
        <v>0.2</v>
      </c>
      <c r="K201" s="1512">
        <f t="shared" si="164"/>
        <v>1025.7135449015475</v>
      </c>
      <c r="L201" s="1512">
        <f t="shared" si="140"/>
        <v>0</v>
      </c>
      <c r="M201" s="1511">
        <f t="shared" si="165"/>
        <v>1025.7135449015475</v>
      </c>
      <c r="N201" s="1454">
        <f t="shared" si="169"/>
        <v>0.5</v>
      </c>
      <c r="O201" s="530">
        <f t="shared" si="141"/>
        <v>751.91700000000026</v>
      </c>
      <c r="P201" s="1481">
        <f t="shared" si="168"/>
        <v>1777.6305449015476</v>
      </c>
      <c r="Q201" s="1364">
        <f t="shared" si="142"/>
        <v>53699.374907739148</v>
      </c>
      <c r="R201" s="1364">
        <f t="shared" si="166"/>
        <v>31049.156733689906</v>
      </c>
      <c r="S201" s="576">
        <f t="shared" si="143"/>
        <v>0.64993605876713267</v>
      </c>
      <c r="T201" s="135" t="str">
        <f t="shared" si="144"/>
        <v>Yes</v>
      </c>
      <c r="U201" s="1091">
        <f t="shared" si="145"/>
        <v>0.64993605876713267</v>
      </c>
      <c r="V201" s="1494">
        <f t="shared" si="136"/>
        <v>60925.230706153139</v>
      </c>
      <c r="W201" s="1491">
        <f t="shared" si="137"/>
        <v>0.33758481679476227</v>
      </c>
      <c r="X201" s="527">
        <f t="shared" si="146"/>
        <v>22650.218174049241</v>
      </c>
      <c r="Y201" s="1509">
        <f t="shared" si="147"/>
        <v>8253.5703848207249</v>
      </c>
      <c r="Z201" s="1531">
        <f t="shared" si="148"/>
        <v>4573.4101876873783</v>
      </c>
      <c r="AA201" s="1531">
        <f t="shared" si="149"/>
        <v>0</v>
      </c>
      <c r="AB201" s="1531">
        <f t="shared" si="150"/>
        <v>25448.031959595799</v>
      </c>
      <c r="AC201" s="1531">
        <f t="shared" si="151"/>
        <v>60925.230706153139</v>
      </c>
      <c r="AD201" s="1487">
        <f t="shared" si="152"/>
        <v>0</v>
      </c>
      <c r="AE201" s="1454">
        <f t="shared" si="153"/>
        <v>0.37177074114487818</v>
      </c>
      <c r="AF201" s="1504">
        <f t="shared" si="154"/>
        <v>0.13547048224779484</v>
      </c>
      <c r="AG201" s="1504">
        <f t="shared" si="155"/>
        <v>7.506594779665704E-2</v>
      </c>
      <c r="AH201" s="1504">
        <f t="shared" si="167"/>
        <v>0</v>
      </c>
      <c r="AI201" s="1504">
        <f t="shared" si="156"/>
        <v>0.41769282881066999</v>
      </c>
      <c r="AJ201" s="1541">
        <f t="shared" si="157"/>
        <v>1.0000000000000002</v>
      </c>
      <c r="AK201" s="1555">
        <f t="shared" si="158"/>
        <v>5926.7420235332393</v>
      </c>
      <c r="AL201" s="1556">
        <f t="shared" si="159"/>
        <v>15799.74792751617</v>
      </c>
      <c r="AM201" s="1556">
        <f t="shared" si="160"/>
        <v>923.72822299983204</v>
      </c>
      <c r="AN201" s="1498">
        <f t="shared" si="161"/>
        <v>22650.218174049238</v>
      </c>
      <c r="AO201" s="1184">
        <f t="shared" si="162"/>
        <v>0</v>
      </c>
    </row>
    <row r="202" spans="1:41">
      <c r="A202" s="127">
        <f>'Input data'!A142</f>
        <v>2042</v>
      </c>
      <c r="B202" s="1551">
        <f>'Input data'!B142</f>
        <v>72.264673338395411</v>
      </c>
      <c r="C202" s="1550">
        <f>'Input data'!C142</f>
        <v>7212.2527913428794</v>
      </c>
      <c r="D202" s="1509">
        <f>'Input data'!E142</f>
        <v>5865888.0813916186</v>
      </c>
      <c r="E202" s="1508">
        <f>'Input data'!J142*C202</f>
        <v>86770.942404757225</v>
      </c>
      <c r="F202" s="1509">
        <f>'Input data'!L142</f>
        <v>92636.830486148843</v>
      </c>
      <c r="G202" s="1509">
        <f t="shared" ref="G202:G209" si="172">$G$160*(1+((($G$170/$G$160)^(1/($A$170-$A$160)))-1))^(A202-$A$160)</f>
        <v>21417.490590039302</v>
      </c>
      <c r="H202" s="1509">
        <f t="shared" si="135"/>
        <v>33877.14988344413</v>
      </c>
      <c r="I202" s="1511">
        <f t="shared" si="138"/>
        <v>5865.8880813916185</v>
      </c>
      <c r="J202" s="1504">
        <f t="shared" si="170"/>
        <v>0.2</v>
      </c>
      <c r="K202" s="1512">
        <f t="shared" si="164"/>
        <v>812.14547001633173</v>
      </c>
      <c r="L202" s="1512">
        <f t="shared" si="140"/>
        <v>0</v>
      </c>
      <c r="M202" s="530">
        <f t="shared" si="165"/>
        <v>812.14547001633173</v>
      </c>
      <c r="N202" s="649">
        <f t="shared" si="169"/>
        <v>0.5</v>
      </c>
      <c r="O202" s="530">
        <f t="shared" si="141"/>
        <v>751.91700000000026</v>
      </c>
      <c r="P202" s="1481">
        <f t="shared" si="168"/>
        <v>1564.0624700163321</v>
      </c>
      <c r="Q202" s="1364">
        <f t="shared" si="142"/>
        <v>53730.578003467097</v>
      </c>
      <c r="R202" s="1364">
        <f t="shared" si="166"/>
        <v>32313.087413427795</v>
      </c>
      <c r="S202" s="576">
        <f t="shared" si="143"/>
        <v>0.65894152897564073</v>
      </c>
      <c r="T202" s="135" t="str">
        <f t="shared" si="144"/>
        <v>Yes</v>
      </c>
      <c r="U202" s="1091">
        <f t="shared" si="145"/>
        <v>0.65894152897564073</v>
      </c>
      <c r="V202" s="1494">
        <f t="shared" si="136"/>
        <v>60323.743072721059</v>
      </c>
      <c r="W202" s="1491">
        <f t="shared" si="137"/>
        <v>0.34881469113150709</v>
      </c>
      <c r="X202" s="527">
        <f t="shared" si="146"/>
        <v>21417.490590039302</v>
      </c>
      <c r="Y202" s="1509">
        <f t="shared" si="147"/>
        <v>8121.633394753756</v>
      </c>
      <c r="Z202" s="1531">
        <f t="shared" si="148"/>
        <v>4673.052237396033</v>
      </c>
      <c r="AA202" s="1531">
        <f t="shared" si="149"/>
        <v>0</v>
      </c>
      <c r="AB202" s="1531">
        <f t="shared" si="150"/>
        <v>26111.566850531974</v>
      </c>
      <c r="AC202" s="1531">
        <f t="shared" si="151"/>
        <v>60323.743072721059</v>
      </c>
      <c r="AD202" s="1487">
        <f t="shared" si="152"/>
        <v>0</v>
      </c>
      <c r="AE202" s="1454">
        <f t="shared" si="153"/>
        <v>0.35504246751101365</v>
      </c>
      <c r="AF202" s="1504">
        <f t="shared" si="154"/>
        <v>0.13463410891069907</v>
      </c>
      <c r="AG202" s="1504">
        <f t="shared" si="155"/>
        <v>7.7466218098611817E-2</v>
      </c>
      <c r="AH202" s="1504">
        <f t="shared" si="167"/>
        <v>0</v>
      </c>
      <c r="AI202" s="1504">
        <f t="shared" si="156"/>
        <v>0.43285720547967554</v>
      </c>
      <c r="AJ202" s="1541">
        <f t="shared" si="157"/>
        <v>1</v>
      </c>
      <c r="AK202" s="1555">
        <f t="shared" si="158"/>
        <v>4692.710465113294</v>
      </c>
      <c r="AL202" s="1556">
        <f t="shared" si="159"/>
        <v>15794.662570400593</v>
      </c>
      <c r="AM202" s="1556">
        <f t="shared" si="160"/>
        <v>930.11755452541024</v>
      </c>
      <c r="AN202" s="1498">
        <f t="shared" si="161"/>
        <v>21417.490590039299</v>
      </c>
      <c r="AO202" s="1184">
        <f t="shared" si="162"/>
        <v>0</v>
      </c>
    </row>
    <row r="203" spans="1:41">
      <c r="A203" s="127">
        <f>'Input data'!A143</f>
        <v>2043</v>
      </c>
      <c r="B203" s="1551">
        <f>'Input data'!B143</f>
        <v>72.713504131197794</v>
      </c>
      <c r="C203" s="1550">
        <f>'Input data'!C143</f>
        <v>7399.5467373897327</v>
      </c>
      <c r="D203" s="1509">
        <f>'Input data'!E143</f>
        <v>4323348.6333666872</v>
      </c>
      <c r="E203" s="1508">
        <f>'Input data'!J143*C203</f>
        <v>89024.284415272807</v>
      </c>
      <c r="F203" s="1509">
        <f>'Input data'!L143</f>
        <v>93347.633048639487</v>
      </c>
      <c r="G203" s="1509">
        <f t="shared" si="172"/>
        <v>20251.853631148377</v>
      </c>
      <c r="H203" s="1509">
        <f t="shared" si="135"/>
        <v>34888.170897871794</v>
      </c>
      <c r="I203" s="1511">
        <f t="shared" si="138"/>
        <v>4323.348633366687</v>
      </c>
      <c r="J203" s="1504">
        <f t="shared" si="170"/>
        <v>0.2</v>
      </c>
      <c r="K203" s="1512">
        <f t="shared" si="164"/>
        <v>598.57739513111574</v>
      </c>
      <c r="L203" s="1512">
        <f t="shared" si="140"/>
        <v>0</v>
      </c>
      <c r="M203" s="530">
        <f t="shared" si="165"/>
        <v>598.57739513111574</v>
      </c>
      <c r="N203" s="649">
        <f t="shared" si="169"/>
        <v>0.5</v>
      </c>
      <c r="O203" s="530">
        <f t="shared" si="141"/>
        <v>751.91700000000026</v>
      </c>
      <c r="P203" s="1481">
        <f t="shared" si="168"/>
        <v>1350.4943951311161</v>
      </c>
      <c r="Q203" s="1364">
        <f t="shared" si="142"/>
        <v>53789.530133889057</v>
      </c>
      <c r="R203" s="1364">
        <f t="shared" si="166"/>
        <v>33537.67650274068</v>
      </c>
      <c r="S203" s="576">
        <f t="shared" si="143"/>
        <v>0.66634431337849054</v>
      </c>
      <c r="T203" s="135" t="str">
        <f t="shared" si="144"/>
        <v>Yes</v>
      </c>
      <c r="U203" s="1091">
        <f t="shared" si="145"/>
        <v>0.66634431337849054</v>
      </c>
      <c r="V203" s="1494">
        <f t="shared" si="136"/>
        <v>59809.956545898822</v>
      </c>
      <c r="W203" s="1491">
        <f t="shared" si="137"/>
        <v>0.35927720293952825</v>
      </c>
      <c r="X203" s="527">
        <f t="shared" si="146"/>
        <v>20251.853631148373</v>
      </c>
      <c r="Y203" s="1509">
        <f t="shared" si="147"/>
        <v>7993.5689448524972</v>
      </c>
      <c r="Z203" s="1531">
        <f t="shared" si="148"/>
        <v>4774.8796293139649</v>
      </c>
      <c r="AA203" s="1531">
        <f t="shared" si="149"/>
        <v>0</v>
      </c>
      <c r="AB203" s="1531">
        <f t="shared" si="150"/>
        <v>26789.654340583988</v>
      </c>
      <c r="AC203" s="1531">
        <f t="shared" si="151"/>
        <v>59809.956545898822</v>
      </c>
      <c r="AD203" s="1487">
        <f t="shared" si="152"/>
        <v>0</v>
      </c>
      <c r="AE203" s="1454">
        <f t="shared" si="153"/>
        <v>0.33860338312747101</v>
      </c>
      <c r="AF203" s="1504">
        <f t="shared" si="154"/>
        <v>0.13364946919361401</v>
      </c>
      <c r="AG203" s="1504">
        <f t="shared" si="155"/>
        <v>7.9834193252584451E-2</v>
      </c>
      <c r="AH203" s="1504">
        <f t="shared" si="167"/>
        <v>0</v>
      </c>
      <c r="AI203" s="1504">
        <f t="shared" si="156"/>
        <v>0.4479129544263305</v>
      </c>
      <c r="AJ203" s="1541">
        <f t="shared" si="157"/>
        <v>1</v>
      </c>
      <c r="AK203" s="1555">
        <f t="shared" si="158"/>
        <v>3458.6789066933497</v>
      </c>
      <c r="AL203" s="1556">
        <f t="shared" si="159"/>
        <v>15853.100754500385</v>
      </c>
      <c r="AM203" s="1556">
        <f t="shared" si="160"/>
        <v>940.07396995463841</v>
      </c>
      <c r="AN203" s="1498">
        <f t="shared" si="161"/>
        <v>20251.853631148373</v>
      </c>
      <c r="AO203" s="1184">
        <f t="shared" si="162"/>
        <v>0</v>
      </c>
    </row>
    <row r="204" spans="1:41">
      <c r="A204" s="127">
        <f>'Input data'!A144</f>
        <v>2044</v>
      </c>
      <c r="B204" s="1551">
        <f>'Input data'!B144</f>
        <v>73.165122580420132</v>
      </c>
      <c r="C204" s="1550">
        <f>'Input data'!C144</f>
        <v>7593.410855692503</v>
      </c>
      <c r="D204" s="1509">
        <f>'Input data'!E144</f>
        <v>2780809.1853417563</v>
      </c>
      <c r="E204" s="1508">
        <f>'Input data'!J144*C204</f>
        <v>91356.672467975353</v>
      </c>
      <c r="F204" s="1509">
        <f>'Input data'!L144</f>
        <v>94137.481653317111</v>
      </c>
      <c r="G204" s="1509">
        <f t="shared" si="172"/>
        <v>19149.655921324487</v>
      </c>
      <c r="H204" s="1509">
        <f t="shared" si="135"/>
        <v>35881.109845026542</v>
      </c>
      <c r="I204" s="1511">
        <f t="shared" si="138"/>
        <v>2780.8091853417563</v>
      </c>
      <c r="J204" s="1504">
        <f t="shared" si="170"/>
        <v>0.2</v>
      </c>
      <c r="K204" s="1512">
        <f t="shared" si="164"/>
        <v>385.00932024589986</v>
      </c>
      <c r="L204" s="1512">
        <f t="shared" si="140"/>
        <v>0</v>
      </c>
      <c r="M204" s="530">
        <f t="shared" si="165"/>
        <v>385.00932024589986</v>
      </c>
      <c r="N204" s="649">
        <f t="shared" si="169"/>
        <v>0.5</v>
      </c>
      <c r="O204" s="530">
        <f t="shared" si="141"/>
        <v>751.91700000000026</v>
      </c>
      <c r="P204" s="1481">
        <f t="shared" si="168"/>
        <v>1136.9263202459001</v>
      </c>
      <c r="Q204" s="1364">
        <f t="shared" si="142"/>
        <v>53893.839446105128</v>
      </c>
      <c r="R204" s="1364">
        <f t="shared" si="166"/>
        <v>34744.183524780645</v>
      </c>
      <c r="S204" s="576">
        <f t="shared" si="143"/>
        <v>0.67243520005103141</v>
      </c>
      <c r="T204" s="135" t="str">
        <f t="shared" si="144"/>
        <v>Yes</v>
      </c>
      <c r="U204" s="1091">
        <f t="shared" si="145"/>
        <v>0.67243520005103141</v>
      </c>
      <c r="V204" s="1494">
        <f t="shared" si="136"/>
        <v>59393.298128536473</v>
      </c>
      <c r="W204" s="1491">
        <f t="shared" si="137"/>
        <v>0.36907916925942497</v>
      </c>
      <c r="X204" s="527">
        <f t="shared" si="146"/>
        <v>19149.65592132448</v>
      </c>
      <c r="Y204" s="1509">
        <f t="shared" si="147"/>
        <v>7871.8343550792715</v>
      </c>
      <c r="Z204" s="1531">
        <f t="shared" si="148"/>
        <v>4880.2790721144393</v>
      </c>
      <c r="AA204" s="1531">
        <f t="shared" si="149"/>
        <v>0</v>
      </c>
      <c r="AB204" s="1531">
        <f t="shared" si="150"/>
        <v>27491.528780018285</v>
      </c>
      <c r="AC204" s="1531">
        <f t="shared" si="151"/>
        <v>59393.298128536473</v>
      </c>
      <c r="AD204" s="1487">
        <f t="shared" si="152"/>
        <v>0</v>
      </c>
      <c r="AE204" s="1454">
        <f t="shared" si="153"/>
        <v>0.32242115734811699</v>
      </c>
      <c r="AF204" s="1504">
        <f t="shared" si="154"/>
        <v>0.13253741757265911</v>
      </c>
      <c r="AG204" s="1504">
        <f t="shared" si="155"/>
        <v>8.2168851131195722E-2</v>
      </c>
      <c r="AH204" s="1504">
        <f t="shared" si="167"/>
        <v>0</v>
      </c>
      <c r="AI204" s="1504">
        <f t="shared" si="156"/>
        <v>0.46287257394802822</v>
      </c>
      <c r="AJ204" s="1541">
        <f t="shared" si="157"/>
        <v>1</v>
      </c>
      <c r="AK204" s="1555">
        <f t="shared" si="158"/>
        <v>2224.6473482734054</v>
      </c>
      <c r="AL204" s="1556">
        <f t="shared" si="159"/>
        <v>15971.462873670447</v>
      </c>
      <c r="AM204" s="1556">
        <f t="shared" si="160"/>
        <v>953.54569938062718</v>
      </c>
      <c r="AN204" s="1498">
        <f t="shared" si="161"/>
        <v>19149.65592132448</v>
      </c>
      <c r="AO204" s="1184">
        <f t="shared" si="162"/>
        <v>0</v>
      </c>
    </row>
    <row r="205" spans="1:41">
      <c r="A205" s="127">
        <f>'Input data'!A145</f>
        <v>2045</v>
      </c>
      <c r="B205" s="1551">
        <f>'Input data'!B145</f>
        <v>73.619545999999971</v>
      </c>
      <c r="C205" s="1550">
        <f>'Input data'!C145</f>
        <v>7794.8943128616638</v>
      </c>
      <c r="D205" s="1509">
        <f>'Input data'!E145</f>
        <v>1238269.7373168254</v>
      </c>
      <c r="E205" s="1508">
        <f>'Input data'!J145*C205</f>
        <v>93780.729134225592</v>
      </c>
      <c r="F205" s="1509">
        <f>'Input data'!L145</f>
        <v>95018.998871542412</v>
      </c>
      <c r="G205" s="1509">
        <f t="shared" si="172"/>
        <v>18107.444808958157</v>
      </c>
      <c r="H205" s="1509">
        <f t="shared" si="135"/>
        <v>36866.662297834038</v>
      </c>
      <c r="I205" s="1511">
        <f t="shared" si="138"/>
        <v>1238.2697373168255</v>
      </c>
      <c r="J205" s="1504">
        <f t="shared" si="170"/>
        <v>0.2</v>
      </c>
      <c r="K205" s="1512">
        <f t="shared" si="164"/>
        <v>171.44124536068409</v>
      </c>
      <c r="L205" s="1512">
        <f t="shared" si="140"/>
        <v>0</v>
      </c>
      <c r="M205" s="530">
        <f t="shared" si="165"/>
        <v>171.44124536068409</v>
      </c>
      <c r="N205" s="649">
        <f t="shared" si="169"/>
        <v>0.5</v>
      </c>
      <c r="O205" s="530">
        <f t="shared" si="141"/>
        <v>751.91700000000026</v>
      </c>
      <c r="P205" s="1481">
        <f t="shared" si="168"/>
        <v>923.35824536068435</v>
      </c>
      <c r="Q205" s="1364">
        <f t="shared" si="142"/>
        <v>54050.748861431508</v>
      </c>
      <c r="R205" s="1364">
        <f t="shared" si="166"/>
        <v>35943.304052473351</v>
      </c>
      <c r="S205" s="576">
        <f t="shared" si="143"/>
        <v>0.67740697152014073</v>
      </c>
      <c r="T205" s="135" t="str">
        <f t="shared" si="144"/>
        <v>Yes</v>
      </c>
      <c r="U205" s="1091">
        <f t="shared" si="145"/>
        <v>0.67740697152014073</v>
      </c>
      <c r="V205" s="1494">
        <f t="shared" si="136"/>
        <v>59075.694819069082</v>
      </c>
      <c r="W205" s="1491">
        <f t="shared" si="137"/>
        <v>0.37827491848304584</v>
      </c>
      <c r="X205" s="527">
        <f t="shared" si="146"/>
        <v>18107.444808958164</v>
      </c>
      <c r="Y205" s="1509">
        <f t="shared" si="147"/>
        <v>7757.4404174858864</v>
      </c>
      <c r="Z205" s="1531">
        <f t="shared" si="148"/>
        <v>4989.8209734474995</v>
      </c>
      <c r="AA205" s="1531">
        <f t="shared" si="149"/>
        <v>0</v>
      </c>
      <c r="AB205" s="1531">
        <f t="shared" si="150"/>
        <v>28220.988619177533</v>
      </c>
      <c r="AC205" s="1531">
        <f t="shared" si="151"/>
        <v>59075.694819069082</v>
      </c>
      <c r="AD205" s="1487">
        <f t="shared" si="152"/>
        <v>0</v>
      </c>
      <c r="AE205" s="1454">
        <f t="shared" si="153"/>
        <v>0.30651259988419555</v>
      </c>
      <c r="AF205" s="1504">
        <f t="shared" si="154"/>
        <v>0.13131357051736034</v>
      </c>
      <c r="AG205" s="1504">
        <f t="shared" si="155"/>
        <v>8.446487153015815E-2</v>
      </c>
      <c r="AH205" s="1504">
        <f t="shared" si="167"/>
        <v>0</v>
      </c>
      <c r="AI205" s="1504">
        <f t="shared" si="156"/>
        <v>0.477708958068286</v>
      </c>
      <c r="AJ205" s="1541">
        <f t="shared" si="157"/>
        <v>1</v>
      </c>
      <c r="AK205" s="1555">
        <f t="shared" si="158"/>
        <v>990.61578985346034</v>
      </c>
      <c r="AL205" s="1556">
        <f t="shared" si="159"/>
        <v>16146.402703113739</v>
      </c>
      <c r="AM205" s="1556">
        <f t="shared" si="160"/>
        <v>970.42631599095796</v>
      </c>
      <c r="AN205" s="1498">
        <f t="shared" si="161"/>
        <v>18107.444808958157</v>
      </c>
      <c r="AO205" s="1184">
        <f t="shared" si="162"/>
        <v>0</v>
      </c>
    </row>
    <row r="206" spans="1:41">
      <c r="A206" s="127">
        <f>'Input data'!A146</f>
        <v>2046</v>
      </c>
      <c r="B206" s="1551">
        <f>'Input data'!B146</f>
        <v>73.995362001779526</v>
      </c>
      <c r="C206" s="1550">
        <f>'Input data'!C146</f>
        <v>8018.9246673642956</v>
      </c>
      <c r="D206" s="1509">
        <f>'Input data'!E146</f>
        <v>1037510.1997812246</v>
      </c>
      <c r="E206" s="1508">
        <f>'Input data'!J146*C206</f>
        <v>96476.048551037893</v>
      </c>
      <c r="F206" s="1509">
        <f>'Input data'!L146</f>
        <v>97513.558750819124</v>
      </c>
      <c r="G206" s="1509">
        <f t="shared" si="172"/>
        <v>17121.955551397077</v>
      </c>
      <c r="H206" s="1509">
        <f t="shared" si="135"/>
        <v>39210.341784735196</v>
      </c>
      <c r="I206" s="1511">
        <f t="shared" si="138"/>
        <v>1037.5101997812246</v>
      </c>
      <c r="J206" s="1504">
        <f t="shared" si="170"/>
        <v>0.2</v>
      </c>
      <c r="K206" s="1512">
        <f t="shared" si="164"/>
        <v>143.64563339029152</v>
      </c>
      <c r="L206" s="1512">
        <f t="shared" si="140"/>
        <v>0</v>
      </c>
      <c r="M206" s="530">
        <f t="shared" si="165"/>
        <v>143.64563339029152</v>
      </c>
      <c r="N206" s="649">
        <f t="shared" si="169"/>
        <v>0.5</v>
      </c>
      <c r="O206" s="530">
        <f t="shared" si="141"/>
        <v>751.91700000000026</v>
      </c>
      <c r="P206" s="1481">
        <f t="shared" si="168"/>
        <v>895.56263339029181</v>
      </c>
      <c r="Q206" s="1364">
        <f t="shared" si="142"/>
        <v>55436.734702741982</v>
      </c>
      <c r="R206" s="1364">
        <f t="shared" si="166"/>
        <v>38314.779151344905</v>
      </c>
      <c r="S206" s="576">
        <f t="shared" si="143"/>
        <v>0.70164944095728232</v>
      </c>
      <c r="T206" s="135" t="str">
        <f t="shared" si="144"/>
        <v>Yes</v>
      </c>
      <c r="U206" s="1091">
        <f t="shared" si="145"/>
        <v>0.70164944095728232</v>
      </c>
      <c r="V206" s="1494">
        <f t="shared" si="136"/>
        <v>59198.779599474226</v>
      </c>
      <c r="W206" s="1491">
        <f t="shared" si="137"/>
        <v>0.39291745314364346</v>
      </c>
      <c r="X206" s="527">
        <f t="shared" si="146"/>
        <v>17121.955551397077</v>
      </c>
      <c r="Y206" s="1509">
        <f t="shared" si="147"/>
        <v>7933.1246788338321</v>
      </c>
      <c r="Z206" s="1531">
        <f t="shared" si="148"/>
        <v>5111.6211020205074</v>
      </c>
      <c r="AA206" s="1531">
        <f t="shared" si="149"/>
        <v>0</v>
      </c>
      <c r="AB206" s="1531">
        <f t="shared" si="150"/>
        <v>29032.078267222809</v>
      </c>
      <c r="AC206" s="1531">
        <f t="shared" si="151"/>
        <v>59198.779599474226</v>
      </c>
      <c r="AD206" s="1487">
        <f t="shared" si="152"/>
        <v>0</v>
      </c>
      <c r="AE206" s="649">
        <f t="shared" si="153"/>
        <v>0.28922818455448607</v>
      </c>
      <c r="AF206" s="417">
        <f t="shared" si="154"/>
        <v>0.13400824700285358</v>
      </c>
      <c r="AG206" s="417">
        <f t="shared" si="155"/>
        <v>8.6346731074603209E-2</v>
      </c>
      <c r="AH206" s="417">
        <f t="shared" si="167"/>
        <v>0</v>
      </c>
      <c r="AI206" s="417">
        <f t="shared" si="156"/>
        <v>0.49041683736805713</v>
      </c>
      <c r="AJ206" s="525">
        <f t="shared" si="157"/>
        <v>1</v>
      </c>
      <c r="AK206" s="1497">
        <f t="shared" si="158"/>
        <v>830.00815982497966</v>
      </c>
      <c r="AL206" s="1498">
        <f t="shared" si="159"/>
        <v>15362.205154202591</v>
      </c>
      <c r="AM206" s="1498">
        <f t="shared" si="160"/>
        <v>929.74223736950535</v>
      </c>
      <c r="AN206" s="1498">
        <f t="shared" si="161"/>
        <v>17121.955551397077</v>
      </c>
      <c r="AO206" s="1184">
        <f t="shared" si="162"/>
        <v>0</v>
      </c>
    </row>
    <row r="207" spans="1:41">
      <c r="A207" s="127">
        <f>'Input data'!A147</f>
        <v>2047</v>
      </c>
      <c r="B207" s="1551">
        <f>'Input data'!B147</f>
        <v>74.373096484110363</v>
      </c>
      <c r="C207" s="1550">
        <f>'Input data'!C147</f>
        <v>8179.7504647675678</v>
      </c>
      <c r="D207" s="1509">
        <f>'Input data'!E147</f>
        <v>836750.66224562365</v>
      </c>
      <c r="E207" s="1508">
        <f>'Input data'!J147*C207</f>
        <v>98410.951057565282</v>
      </c>
      <c r="F207" s="1509">
        <f>'Input data'!L147</f>
        <v>99247.70171981091</v>
      </c>
      <c r="G207" s="1509">
        <f t="shared" si="172"/>
        <v>16190.101088088571</v>
      </c>
      <c r="H207" s="1509">
        <f t="shared" si="135"/>
        <v>41064.053840292006</v>
      </c>
      <c r="I207" s="1511">
        <f t="shared" si="138"/>
        <v>836.75066224562363</v>
      </c>
      <c r="J207" s="1504">
        <f t="shared" si="170"/>
        <v>0.2</v>
      </c>
      <c r="K207" s="1512">
        <f t="shared" si="164"/>
        <v>115.85002141989894</v>
      </c>
      <c r="L207" s="1512">
        <f t="shared" si="140"/>
        <v>0</v>
      </c>
      <c r="M207" s="530">
        <f t="shared" si="165"/>
        <v>115.85002141989894</v>
      </c>
      <c r="N207" s="649">
        <f t="shared" si="169"/>
        <v>0.5</v>
      </c>
      <c r="O207" s="530">
        <f t="shared" si="141"/>
        <v>751.91700000000026</v>
      </c>
      <c r="P207" s="1481">
        <f t="shared" si="168"/>
        <v>867.76702141989915</v>
      </c>
      <c r="Q207" s="1364">
        <f t="shared" si="142"/>
        <v>56386.387906960677</v>
      </c>
      <c r="R207" s="1364">
        <f t="shared" si="166"/>
        <v>40196.286818872104</v>
      </c>
      <c r="S207" s="576">
        <f t="shared" si="143"/>
        <v>0.72143683122656965</v>
      </c>
      <c r="T207" s="135" t="str">
        <f t="shared" si="144"/>
        <v>Yes</v>
      </c>
      <c r="U207" s="1091">
        <f t="shared" si="145"/>
        <v>0.72143683122656965</v>
      </c>
      <c r="V207" s="1494">
        <f t="shared" si="136"/>
        <v>59051.414900938813</v>
      </c>
      <c r="W207" s="1491">
        <f t="shared" si="137"/>
        <v>0.40500974956932922</v>
      </c>
      <c r="X207" s="527">
        <f t="shared" si="146"/>
        <v>16190.101088088573</v>
      </c>
      <c r="Y207" s="1509">
        <f t="shared" si="147"/>
        <v>8047.9161674644693</v>
      </c>
      <c r="Z207" s="1531">
        <f t="shared" si="148"/>
        <v>5199.0583729432956</v>
      </c>
      <c r="AA207" s="1531">
        <f t="shared" si="149"/>
        <v>0</v>
      </c>
      <c r="AB207" s="1531">
        <f t="shared" si="150"/>
        <v>29614.339272442474</v>
      </c>
      <c r="AC207" s="1531">
        <f t="shared" si="151"/>
        <v>59051.414900938813</v>
      </c>
      <c r="AD207" s="1487">
        <f t="shared" si="152"/>
        <v>0</v>
      </c>
      <c r="AE207" s="649">
        <f t="shared" si="153"/>
        <v>0.27416957096198519</v>
      </c>
      <c r="AF207" s="417">
        <f t="shared" si="154"/>
        <v>0.13628659331813101</v>
      </c>
      <c r="AG207" s="417">
        <f t="shared" si="155"/>
        <v>8.8042909414870599E-2</v>
      </c>
      <c r="AH207" s="417">
        <f t="shared" si="167"/>
        <v>0</v>
      </c>
      <c r="AI207" s="417">
        <f t="shared" si="156"/>
        <v>0.50150092630501319</v>
      </c>
      <c r="AJ207" s="525">
        <f t="shared" si="157"/>
        <v>1</v>
      </c>
      <c r="AK207" s="1497">
        <f t="shared" si="158"/>
        <v>669.40052979649897</v>
      </c>
      <c r="AL207" s="1498">
        <f t="shared" si="159"/>
        <v>14631.010440845477</v>
      </c>
      <c r="AM207" s="1498">
        <f t="shared" si="160"/>
        <v>889.69011744659417</v>
      </c>
      <c r="AN207" s="1498">
        <f t="shared" si="161"/>
        <v>16190.101088088571</v>
      </c>
      <c r="AO207" s="1184">
        <f t="shared" si="162"/>
        <v>0</v>
      </c>
    </row>
    <row r="208" spans="1:41">
      <c r="A208" s="127">
        <f>'Input data'!A148</f>
        <v>2048</v>
      </c>
      <c r="B208" s="1551">
        <f>'Input data'!B148</f>
        <v>74.752759240528661</v>
      </c>
      <c r="C208" s="1550">
        <f>'Input data'!C148</f>
        <v>8346.3110427603078</v>
      </c>
      <c r="D208" s="1509">
        <f>'Input data'!E148</f>
        <v>635991.12471002259</v>
      </c>
      <c r="E208" s="1508">
        <f>'Input data'!J148*C208</f>
        <v>100414.84897102432</v>
      </c>
      <c r="F208" s="1509">
        <f>'Input data'!L148</f>
        <v>101050.84009573434</v>
      </c>
      <c r="G208" s="1509">
        <f t="shared" si="172"/>
        <v>15308.962370313993</v>
      </c>
      <c r="H208" s="1509">
        <f t="shared" si="135"/>
        <v>42906.640206041586</v>
      </c>
      <c r="I208" s="1511">
        <f t="shared" si="138"/>
        <v>635.99112471002263</v>
      </c>
      <c r="J208" s="1504">
        <f t="shared" si="170"/>
        <v>0.2</v>
      </c>
      <c r="K208" s="1512">
        <f t="shared" si="164"/>
        <v>88.054409449506338</v>
      </c>
      <c r="L208" s="1512">
        <f t="shared" si="140"/>
        <v>0</v>
      </c>
      <c r="M208" s="530">
        <f t="shared" si="165"/>
        <v>88.054409449506338</v>
      </c>
      <c r="N208" s="649">
        <f t="shared" si="169"/>
        <v>0.5</v>
      </c>
      <c r="O208" s="530">
        <f t="shared" si="141"/>
        <v>751.91700000000026</v>
      </c>
      <c r="P208" s="1481">
        <f t="shared" si="168"/>
        <v>839.97140944950661</v>
      </c>
      <c r="Q208" s="1364">
        <f t="shared" si="142"/>
        <v>57375.631166906074</v>
      </c>
      <c r="R208" s="1364">
        <f t="shared" si="166"/>
        <v>42066.668796592079</v>
      </c>
      <c r="S208" s="576">
        <f t="shared" si="143"/>
        <v>0.73973989197323409</v>
      </c>
      <c r="T208" s="135" t="str">
        <f t="shared" si="144"/>
        <v>Yes</v>
      </c>
      <c r="U208" s="1091">
        <f t="shared" si="145"/>
        <v>0.73973989197323409</v>
      </c>
      <c r="V208" s="1494">
        <f t="shared" si="136"/>
        <v>58984.171299142268</v>
      </c>
      <c r="W208" s="1491">
        <f t="shared" si="137"/>
        <v>0.41629212341766397</v>
      </c>
      <c r="X208" s="527">
        <f t="shared" si="146"/>
        <v>15308.962370313993</v>
      </c>
      <c r="Y208" s="1509">
        <f t="shared" si="147"/>
        <v>8168.2326800339515</v>
      </c>
      <c r="Z208" s="1531">
        <f t="shared" si="148"/>
        <v>5289.613511597383</v>
      </c>
      <c r="AA208" s="1531">
        <f t="shared" si="149"/>
        <v>0</v>
      </c>
      <c r="AB208" s="1531">
        <f t="shared" si="150"/>
        <v>30217.362737196945</v>
      </c>
      <c r="AC208" s="1531">
        <f t="shared" si="151"/>
        <v>58984.171299142268</v>
      </c>
      <c r="AD208" s="1487">
        <f t="shared" si="152"/>
        <v>0</v>
      </c>
      <c r="AE208" s="649">
        <f t="shared" si="153"/>
        <v>0.25954356962435804</v>
      </c>
      <c r="AF208" s="417">
        <f t="shared" si="154"/>
        <v>0.13848177401032219</v>
      </c>
      <c r="AG208" s="417">
        <f t="shared" si="155"/>
        <v>8.9678525527988606E-2</v>
      </c>
      <c r="AH208" s="417">
        <f t="shared" si="167"/>
        <v>0</v>
      </c>
      <c r="AI208" s="417">
        <f t="shared" si="156"/>
        <v>0.51229613083733128</v>
      </c>
      <c r="AJ208" s="525">
        <f t="shared" si="157"/>
        <v>1</v>
      </c>
      <c r="AK208" s="1497">
        <f t="shared" si="158"/>
        <v>508.79289976801806</v>
      </c>
      <c r="AL208" s="1498">
        <f t="shared" si="159"/>
        <v>13948.025810057794</v>
      </c>
      <c r="AM208" s="1498">
        <f t="shared" si="160"/>
        <v>852.14366048817851</v>
      </c>
      <c r="AN208" s="1498">
        <f t="shared" si="161"/>
        <v>15308.96237031399</v>
      </c>
      <c r="AO208" s="1184">
        <f t="shared" si="162"/>
        <v>0</v>
      </c>
    </row>
    <row r="209" spans="1:41">
      <c r="A209" s="127">
        <f>'Input data'!A149</f>
        <v>2049</v>
      </c>
      <c r="B209" s="1551">
        <f>'Input data'!B149</f>
        <v>75.134360114565098</v>
      </c>
      <c r="C209" s="1550">
        <f>'Input data'!C149</f>
        <v>8507.9647859669603</v>
      </c>
      <c r="D209" s="1509">
        <f>'Input data'!E149</f>
        <v>435231.58717442153</v>
      </c>
      <c r="E209" s="1508">
        <f>'Input data'!J149*C209</f>
        <v>102359.71253128871</v>
      </c>
      <c r="F209" s="1509">
        <f>'Input data'!L149</f>
        <v>102794.94411846313</v>
      </c>
      <c r="G209" s="1509">
        <f t="shared" si="172"/>
        <v>14475.779217222871</v>
      </c>
      <c r="H209" s="1509">
        <f t="shared" si="135"/>
        <v>44667.396674935415</v>
      </c>
      <c r="I209" s="1511">
        <f t="shared" si="138"/>
        <v>435.23158717442152</v>
      </c>
      <c r="J209" s="1504">
        <f t="shared" si="170"/>
        <v>0.2</v>
      </c>
      <c r="K209" s="1512">
        <f t="shared" si="164"/>
        <v>60.258797479113753</v>
      </c>
      <c r="L209" s="1512">
        <f t="shared" si="140"/>
        <v>0</v>
      </c>
      <c r="M209" s="530">
        <f t="shared" si="165"/>
        <v>60.258797479113753</v>
      </c>
      <c r="N209" s="649">
        <f t="shared" si="169"/>
        <v>0.5</v>
      </c>
      <c r="O209" s="530">
        <f t="shared" si="141"/>
        <v>751.91700000000026</v>
      </c>
      <c r="P209" s="1481">
        <f t="shared" si="168"/>
        <v>812.17579747911395</v>
      </c>
      <c r="Q209" s="1364">
        <f t="shared" si="142"/>
        <v>58331.000094679177</v>
      </c>
      <c r="R209" s="1364">
        <f t="shared" si="166"/>
        <v>43855.220877456304</v>
      </c>
      <c r="S209" s="576">
        <f t="shared" si="143"/>
        <v>0.75634860104434332</v>
      </c>
      <c r="T209" s="135" t="str">
        <f t="shared" si="144"/>
        <v>Yes</v>
      </c>
      <c r="U209" s="1091">
        <f t="shared" si="145"/>
        <v>0.75634860104434332</v>
      </c>
      <c r="V209" s="1494">
        <f t="shared" si="136"/>
        <v>58939.723241006846</v>
      </c>
      <c r="W209" s="1491">
        <f t="shared" si="137"/>
        <v>0.42662818929028812</v>
      </c>
      <c r="X209" s="527">
        <f t="shared" si="146"/>
        <v>14475.779217222869</v>
      </c>
      <c r="Y209" s="1509">
        <f t="shared" si="147"/>
        <v>8283.8218313323032</v>
      </c>
      <c r="Z209" s="1531">
        <f t="shared" si="148"/>
        <v>5377.5009175276673</v>
      </c>
      <c r="AA209" s="1531">
        <f t="shared" si="149"/>
        <v>0</v>
      </c>
      <c r="AB209" s="1531">
        <f t="shared" si="150"/>
        <v>30802.621274924004</v>
      </c>
      <c r="AC209" s="1531">
        <f t="shared" si="151"/>
        <v>58939.723241006846</v>
      </c>
      <c r="AD209" s="1487">
        <f t="shared" si="152"/>
        <v>0</v>
      </c>
      <c r="AE209" s="649">
        <f t="shared" si="153"/>
        <v>0.24560310807756661</v>
      </c>
      <c r="AF209" s="417">
        <f t="shared" si="154"/>
        <v>0.14054734864396004</v>
      </c>
      <c r="AG209" s="417">
        <f t="shared" si="155"/>
        <v>9.1237295016450184E-2</v>
      </c>
      <c r="AH209" s="417">
        <f t="shared" si="167"/>
        <v>0</v>
      </c>
      <c r="AI209" s="417">
        <f t="shared" si="156"/>
        <v>0.52261224826202313</v>
      </c>
      <c r="AJ209" s="525">
        <f t="shared" si="157"/>
        <v>1</v>
      </c>
      <c r="AK209" s="1497">
        <f t="shared" si="158"/>
        <v>348.1852697395372</v>
      </c>
      <c r="AL209" s="1498">
        <f t="shared" si="159"/>
        <v>13310.830833542197</v>
      </c>
      <c r="AM209" s="1498">
        <f t="shared" si="160"/>
        <v>816.76311394113168</v>
      </c>
      <c r="AN209" s="1498">
        <f t="shared" si="161"/>
        <v>14475.779217222866</v>
      </c>
      <c r="AO209" s="1184">
        <f t="shared" si="162"/>
        <v>0</v>
      </c>
    </row>
    <row r="210" spans="1:41" ht="15.75" thickBot="1">
      <c r="A210" s="172">
        <f>'Input data'!A150</f>
        <v>2050</v>
      </c>
      <c r="B210" s="664">
        <f>'Input data'!B150</f>
        <v>75.517908999999989</v>
      </c>
      <c r="C210" s="239">
        <f>'Input data'!C150</f>
        <v>8670.5902188603068</v>
      </c>
      <c r="D210" s="667">
        <f>'Input data'!E150</f>
        <v>234472.04963882058</v>
      </c>
      <c r="E210" s="670">
        <f>'Input data'!J150*C210</f>
        <v>104316.26653450882</v>
      </c>
      <c r="F210" s="667">
        <f>'Input data'!L150</f>
        <v>104550.73858414764</v>
      </c>
      <c r="G210" s="667">
        <f>G177*(1-$C$6)</f>
        <v>13687.941669523079</v>
      </c>
      <c r="H210" s="667">
        <f t="shared" si="135"/>
        <v>46389.515597838807</v>
      </c>
      <c r="I210" s="659">
        <f t="shared" si="138"/>
        <v>234.47204963882058</v>
      </c>
      <c r="J210" s="651">
        <f t="shared" si="170"/>
        <v>0.2</v>
      </c>
      <c r="K210" s="667">
        <f t="shared" si="164"/>
        <v>32.463185508721168</v>
      </c>
      <c r="L210" s="667">
        <f t="shared" si="140"/>
        <v>0</v>
      </c>
      <c r="M210" s="659">
        <f t="shared" si="165"/>
        <v>32.463185508721168</v>
      </c>
      <c r="N210" s="650">
        <f t="shared" si="169"/>
        <v>0.5</v>
      </c>
      <c r="O210" s="659">
        <f t="shared" si="141"/>
        <v>751.91700000000026</v>
      </c>
      <c r="P210" s="1482">
        <f t="shared" si="168"/>
        <v>784.38018550872141</v>
      </c>
      <c r="Q210" s="1485">
        <f t="shared" si="142"/>
        <v>59293.07708185316</v>
      </c>
      <c r="R210" s="1485">
        <f t="shared" si="166"/>
        <v>45605.135412330084</v>
      </c>
      <c r="S210" s="578">
        <f t="shared" si="143"/>
        <v>0.77158869889886605</v>
      </c>
      <c r="T210" s="1105" t="str">
        <f t="shared" si="144"/>
        <v>Yes</v>
      </c>
      <c r="U210" s="1094">
        <f t="shared" si="145"/>
        <v>0.77158869889886605</v>
      </c>
      <c r="V210" s="1495">
        <f t="shared" si="136"/>
        <v>58945.603171817573</v>
      </c>
      <c r="W210" s="1492">
        <f t="shared" si="137"/>
        <v>0.43620098748154501</v>
      </c>
      <c r="X210" s="670">
        <f t="shared" si="146"/>
        <v>13687.941669523081</v>
      </c>
      <c r="Y210" s="1518">
        <f t="shared" si="147"/>
        <v>8400.3471315724237</v>
      </c>
      <c r="Z210" s="1532">
        <f t="shared" si="148"/>
        <v>5465.916608694276</v>
      </c>
      <c r="AA210" s="1532">
        <f t="shared" si="149"/>
        <v>0</v>
      </c>
      <c r="AB210" s="1532">
        <f t="shared" si="150"/>
        <v>31391.397762027791</v>
      </c>
      <c r="AC210" s="1532">
        <f t="shared" si="151"/>
        <v>58945.603171817573</v>
      </c>
      <c r="AD210" s="1488">
        <f t="shared" si="152"/>
        <v>0</v>
      </c>
      <c r="AE210" s="650">
        <f t="shared" si="153"/>
        <v>0.23221310722064864</v>
      </c>
      <c r="AF210" s="651">
        <f t="shared" si="154"/>
        <v>0.14251015647573703</v>
      </c>
      <c r="AG210" s="651">
        <f t="shared" si="155"/>
        <v>9.2728147895305285E-2</v>
      </c>
      <c r="AH210" s="651">
        <f t="shared" si="167"/>
        <v>0</v>
      </c>
      <c r="AI210" s="651">
        <f>AB210/AC210</f>
        <v>0.53254858840830899</v>
      </c>
      <c r="AJ210" s="652">
        <f t="shared" si="157"/>
        <v>0.99999999999999989</v>
      </c>
      <c r="AK210" s="1499">
        <f t="shared" si="158"/>
        <v>187.57763971105646</v>
      </c>
      <c r="AL210" s="1500">
        <f t="shared" si="159"/>
        <v>12716.770107916076</v>
      </c>
      <c r="AM210" s="1500">
        <f t="shared" si="160"/>
        <v>783.59392189594655</v>
      </c>
      <c r="AN210" s="1500">
        <f t="shared" si="161"/>
        <v>13687.941669523079</v>
      </c>
      <c r="AO210" s="1185">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6" t="s">
        <v>556</v>
      </c>
      <c r="B4" s="1802" t="s">
        <v>557</v>
      </c>
      <c r="C4" s="579">
        <v>0.5</v>
      </c>
      <c r="D4" s="116">
        <f>2017+10</f>
        <v>2027</v>
      </c>
      <c r="E4" s="579">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681"/>
      <c r="B28" s="68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334"/>
      <c r="P57" s="334"/>
      <c r="Q57" s="10"/>
      <c r="R57" s="10"/>
      <c r="S57" s="10"/>
      <c r="W57" s="313"/>
      <c r="Y57" s="314"/>
      <c r="Z57" s="314"/>
      <c r="AA57" s="314"/>
    </row>
    <row r="58" spans="1:28"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613"/>
      <c r="P58" s="613"/>
      <c r="Q58" s="10"/>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614"/>
      <c r="P59" s="614"/>
      <c r="Q59" s="342"/>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614"/>
      <c r="P60" s="614"/>
      <c r="Q60" s="10"/>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614"/>
      <c r="P61" s="614"/>
      <c r="Q61" s="10"/>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737</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738</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8">C79/$C$79</f>
        <v>1</v>
      </c>
      <c r="D80" s="1326">
        <f t="shared" si="8"/>
        <v>0</v>
      </c>
      <c r="E80" s="1326">
        <f t="shared" si="8"/>
        <v>0.93845226140483384</v>
      </c>
      <c r="F80" s="1326">
        <f t="shared" si="8"/>
        <v>0</v>
      </c>
      <c r="G80" s="1326">
        <f t="shared" si="8"/>
        <v>0</v>
      </c>
      <c r="H80" s="1327">
        <f t="shared" si="8"/>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775</v>
      </c>
      <c r="R94" s="1919"/>
      <c r="S94" s="1919"/>
      <c r="T94" s="1919"/>
      <c r="U94" s="1920"/>
      <c r="V94" s="1925" t="s">
        <v>599</v>
      </c>
      <c r="W94" s="1781" t="s">
        <v>608</v>
      </c>
      <c r="X94" s="1783"/>
      <c r="Y94" s="1883" t="s">
        <v>594</v>
      </c>
      <c r="Z94" s="1842" t="s">
        <v>763</v>
      </c>
      <c r="AA94" s="1927" t="s">
        <v>771</v>
      </c>
      <c r="AB94" s="1840" t="s">
        <v>773</v>
      </c>
      <c r="AC94" s="1838" t="s">
        <v>781</v>
      </c>
      <c r="AD94" s="1840" t="s">
        <v>773</v>
      </c>
      <c r="AE94" s="1840" t="s">
        <v>772</v>
      </c>
      <c r="AF94" s="1856" t="s">
        <v>774</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734</v>
      </c>
      <c r="BN94" s="1707"/>
      <c r="BO94" s="1707"/>
      <c r="BP94" s="1707"/>
      <c r="BQ94" s="1707"/>
      <c r="BR94" s="1707"/>
      <c r="BS94" s="1707"/>
      <c r="BT94" s="1708"/>
      <c r="BV94" s="1932" t="s">
        <v>646</v>
      </c>
      <c r="BW94" s="1933"/>
      <c r="BX94" s="1934"/>
      <c r="BY94" s="1932" t="s">
        <v>650</v>
      </c>
      <c r="BZ94" s="1933"/>
      <c r="CA94" s="1934"/>
      <c r="CB94" s="1930" t="s">
        <v>647</v>
      </c>
      <c r="CC94" s="1931"/>
      <c r="CD94" s="1908" t="s">
        <v>651</v>
      </c>
      <c r="CE94" s="1907"/>
      <c r="CG94" s="1898" t="s">
        <v>735</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766</v>
      </c>
      <c r="K95" s="695" t="s">
        <v>596</v>
      </c>
      <c r="L95" s="678" t="s">
        <v>87</v>
      </c>
      <c r="M95" s="661" t="s">
        <v>323</v>
      </c>
      <c r="N95" s="661" t="s">
        <v>324</v>
      </c>
      <c r="O95" s="661" t="s">
        <v>325</v>
      </c>
      <c r="P95" s="660" t="s">
        <v>582</v>
      </c>
      <c r="Q95" s="503" t="s">
        <v>87</v>
      </c>
      <c r="R95" s="661" t="s">
        <v>323</v>
      </c>
      <c r="S95" s="661" t="s">
        <v>324</v>
      </c>
      <c r="T95" s="661" t="s">
        <v>325</v>
      </c>
      <c r="U95" s="1166" t="s">
        <v>582</v>
      </c>
      <c r="V95" s="1926"/>
      <c r="W95" s="1595" t="s">
        <v>605</v>
      </c>
      <c r="X95" s="1596" t="s">
        <v>576</v>
      </c>
      <c r="Y95" s="1884"/>
      <c r="Z95" s="1843"/>
      <c r="AA95" s="1928"/>
      <c r="AB95" s="1841"/>
      <c r="AC95" s="1839"/>
      <c r="AD95" s="1841"/>
      <c r="AE95" s="1841"/>
      <c r="AF95" s="1857"/>
      <c r="AG95" s="1579" t="s">
        <v>473</v>
      </c>
      <c r="AH95" s="1580" t="s">
        <v>489</v>
      </c>
      <c r="AI95" s="1636" t="s">
        <v>807</v>
      </c>
      <c r="AJ95" s="1580" t="s">
        <v>377</v>
      </c>
      <c r="AK95" s="1580" t="s">
        <v>225</v>
      </c>
      <c r="AL95" s="713" t="s">
        <v>591</v>
      </c>
      <c r="AM95" s="1579" t="s">
        <v>473</v>
      </c>
      <c r="AN95" s="1580" t="s">
        <v>489</v>
      </c>
      <c r="AO95" s="1636" t="s">
        <v>807</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68" t="s">
        <v>267</v>
      </c>
      <c r="CC95" s="1269" t="s">
        <v>633</v>
      </c>
      <c r="CD95" s="1270" t="s">
        <v>267</v>
      </c>
      <c r="CE95" s="1271" t="s">
        <v>633</v>
      </c>
      <c r="CF95"/>
      <c r="CG95" s="1258" t="s">
        <v>87</v>
      </c>
      <c r="CH95" s="1259" t="s">
        <v>323</v>
      </c>
      <c r="CI95" s="1259" t="s">
        <v>324</v>
      </c>
      <c r="CJ95" s="1259" t="s">
        <v>325</v>
      </c>
      <c r="CK95" s="1260" t="s">
        <v>582</v>
      </c>
      <c r="CL95" s="1259" t="s">
        <v>303</v>
      </c>
      <c r="CM95" s="1901" t="s">
        <v>736</v>
      </c>
    </row>
    <row r="96" spans="1:91" ht="30.7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92"/>
      <c r="AC96" s="1839"/>
      <c r="AD96" s="1892"/>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098" t="s">
        <v>625</v>
      </c>
      <c r="BW96" s="40" t="s">
        <v>229</v>
      </c>
      <c r="BX96" s="1099" t="s">
        <v>625</v>
      </c>
      <c r="BY96" s="1098" t="s">
        <v>625</v>
      </c>
      <c r="BZ96" s="40" t="s">
        <v>229</v>
      </c>
      <c r="CA96" s="1099" t="s">
        <v>625</v>
      </c>
      <c r="CB96" s="1573" t="s">
        <v>229</v>
      </c>
      <c r="CC96" s="1574" t="s">
        <v>229</v>
      </c>
      <c r="CD96" s="1476" t="s">
        <v>229</v>
      </c>
      <c r="CE96" s="1477" t="s">
        <v>229</v>
      </c>
      <c r="CG96" s="1272" t="s">
        <v>227</v>
      </c>
      <c r="CH96" s="1259" t="s">
        <v>227</v>
      </c>
      <c r="CI96" s="1259" t="s">
        <v>227</v>
      </c>
      <c r="CJ96" s="1259" t="s">
        <v>227</v>
      </c>
      <c r="CK96" s="1259" t="s">
        <v>227</v>
      </c>
      <c r="CL96" s="1259" t="s">
        <v>227</v>
      </c>
      <c r="CM96" s="1901"/>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69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9">SUM(Q97:U97)</f>
        <v>0</v>
      </c>
      <c r="W97" s="708">
        <v>0</v>
      </c>
      <c r="X97" s="1467">
        <f>W97*($C$76+$D$76)*$B$10*$I$97</f>
        <v>0</v>
      </c>
      <c r="Y97" s="957">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3">
        <f t="shared" ref="AR97:AR130" si="14">(I97*$C$76*$B$10-$C$66/($D$66+$C$66)*X97)*(1-AD97)</f>
        <v>2674.7122279603836</v>
      </c>
      <c r="AS97" s="1373">
        <f t="shared" ref="AS97:AS130" si="15">(I97*$D$76*$B$10-$D$66/($D$66+$C$66)*X97)*(1-AD97)</f>
        <v>3392.2587126437579</v>
      </c>
      <c r="AT97" s="1373">
        <f t="shared" ref="AT97:AT130" si="16">(I97*$B$10*$E$76-(Q97))*(1-AD97)</f>
        <v>657.47825077636821</v>
      </c>
      <c r="AU97" s="1373">
        <f t="shared" ref="AU97:AU130" si="17">I97*$F$76*(1-AD97)*$B$10</f>
        <v>0</v>
      </c>
      <c r="AV97" s="1373">
        <f t="shared" ref="AV97:AV130" si="18">I97*$G$76*(1-AD97)*$B$10</f>
        <v>0</v>
      </c>
      <c r="AW97" s="1373">
        <f t="shared" ref="AW97:AW130" si="19">I97*$G$76*(1-AD97)*$B$10</f>
        <v>0</v>
      </c>
      <c r="AX97" s="1373">
        <f t="shared" ref="AX97:AX130" si="20">I97*$I$76*(1-AD97)*$AM$97</f>
        <v>2798.4495620620314</v>
      </c>
      <c r="AY97" s="1373">
        <f t="shared" ref="AY97:AY130" si="21">(I97*$J$76*$B$10-R97)*(1-AD97)</f>
        <v>404.59200209812275</v>
      </c>
      <c r="AZ97" s="1373">
        <f t="shared" ref="AZ97:AZ130" si="22">(I97*$K$76*$B$10-S97)*(1-AD97)</f>
        <v>588.07238655935896</v>
      </c>
      <c r="BA97" s="1373">
        <f t="shared" ref="BA97:BA130" si="23">(I97*$L$76*$B$10-T97)*(1-AD97)</f>
        <v>516.96231057860598</v>
      </c>
      <c r="BB97" s="1373">
        <f t="shared" ref="BB97:BB130" si="24">(I97*$M$76*$B$10-U97)*(1-AD97)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86">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4436.7667702662829</v>
      </c>
      <c r="D99" s="236">
        <f>'Input data'!D119</f>
        <v>53495734.497914702</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113.60506162863425</v>
      </c>
      <c r="BW99" s="114">
        <f t="shared" si="59"/>
        <v>0.37652840962439843</v>
      </c>
      <c r="BX99" s="1686">
        <f t="shared" si="25"/>
        <v>53.495734497914704</v>
      </c>
      <c r="BY99" s="527">
        <f t="shared" si="60"/>
        <v>113.60506162863425</v>
      </c>
      <c r="BZ99" s="417">
        <f t="shared" si="61"/>
        <v>0.37652840962439843</v>
      </c>
      <c r="CA99" s="544">
        <f t="shared" si="26"/>
        <v>53.495734497914704</v>
      </c>
      <c r="CB99" s="649">
        <f t="shared" si="27"/>
        <v>4.2261345922522509E-2</v>
      </c>
      <c r="CC99" s="525">
        <f t="shared" si="62"/>
        <v>0.1589262017034847</v>
      </c>
      <c r="CD99" s="417">
        <f t="shared" si="28"/>
        <v>4.2261345922522509E-2</v>
      </c>
      <c r="CE99" s="525">
        <f t="shared" si="63"/>
        <v>0.1589262017034847</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4156.6412676508144</v>
      </c>
      <c r="D100" s="236">
        <f>'Input data'!D120</f>
        <v>51132056.241912685</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107.76580206740455</v>
      </c>
      <c r="BW100" s="114">
        <f t="shared" si="59"/>
        <v>0.40182480874928223</v>
      </c>
      <c r="BX100" s="1686">
        <f t="shared" si="25"/>
        <v>51.132056241912686</v>
      </c>
      <c r="BY100" s="527">
        <f t="shared" si="60"/>
        <v>107.76580206740455</v>
      </c>
      <c r="BZ100" s="417">
        <f t="shared" si="61"/>
        <v>0.40182480874928223</v>
      </c>
      <c r="CA100" s="544">
        <f t="shared" si="26"/>
        <v>51.132056241912686</v>
      </c>
      <c r="CB100" s="649">
        <f t="shared" si="27"/>
        <v>6.3097402659273327E-2</v>
      </c>
      <c r="CC100" s="525">
        <f t="shared" si="62"/>
        <v>0.16758616013099048</v>
      </c>
      <c r="CD100" s="417">
        <f t="shared" si="28"/>
        <v>6.3097402659273327E-2</v>
      </c>
      <c r="CE100" s="525">
        <f t="shared" si="63"/>
        <v>0.16758616013099048</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1">
        <f>'Input data'!B121</f>
        <v>59.991580449204264</v>
      </c>
      <c r="C101" s="1550">
        <f>'Input data'!C121</f>
        <v>4293.1482366506107</v>
      </c>
      <c r="D101" s="1550">
        <f>'Input data'!D121</f>
        <v>51275503.644747034</v>
      </c>
      <c r="E101" s="1454">
        <f t="shared" si="71"/>
        <v>0.80255384615384628</v>
      </c>
      <c r="F101" s="1504">
        <f t="shared" si="72"/>
        <v>0.31349230769230763</v>
      </c>
      <c r="G101" s="1511">
        <f>B101*F101*'Input data'!$C$9</f>
        <v>575.62445854598354</v>
      </c>
      <c r="H101" s="1542">
        <f>'Input data'!I121</f>
        <v>424.26313389388866</v>
      </c>
      <c r="I101" s="1509">
        <f>'Input data'!K121</f>
        <v>25452.215928626742</v>
      </c>
      <c r="J101" s="1509">
        <f>J97*0.65</f>
        <v>7243.6204632745166</v>
      </c>
      <c r="K101" s="1511">
        <f t="shared" si="73"/>
        <v>4584.4938240444126</v>
      </c>
      <c r="L101" s="1504">
        <f t="shared" si="74"/>
        <v>0.61692307692307702</v>
      </c>
      <c r="M101" s="1504">
        <f t="shared" si="29"/>
        <v>0.48715384615384622</v>
      </c>
      <c r="N101" s="1504">
        <f t="shared" si="75"/>
        <v>0.76984615384615374</v>
      </c>
      <c r="O101" s="1504">
        <f t="shared" si="76"/>
        <v>0.8307692307692307</v>
      </c>
      <c r="P101" s="1504">
        <f t="shared" si="30"/>
        <v>0.23600000000000002</v>
      </c>
      <c r="Q101" s="1508">
        <f t="shared" si="31"/>
        <v>83.854267924368514</v>
      </c>
      <c r="R101" s="1509">
        <f t="shared" si="32"/>
        <v>58.51611439285017</v>
      </c>
      <c r="S101" s="1509">
        <f t="shared" si="33"/>
        <v>171.35941615291358</v>
      </c>
      <c r="T101" s="1509">
        <f t="shared" si="34"/>
        <v>115.38270365905373</v>
      </c>
      <c r="U101" s="1511">
        <f t="shared" si="35"/>
        <v>0</v>
      </c>
      <c r="V101" s="1509">
        <f t="shared" si="9"/>
        <v>429.112502129186</v>
      </c>
      <c r="W101" s="1454">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98.572857430742403</v>
      </c>
      <c r="BW101" s="114">
        <f t="shared" si="59"/>
        <v>0.47521627923214255</v>
      </c>
      <c r="BX101" s="1686">
        <f t="shared" si="25"/>
        <v>51.275503644747033</v>
      </c>
      <c r="BY101" s="527">
        <f t="shared" si="60"/>
        <v>98.572857430742403</v>
      </c>
      <c r="BZ101" s="417">
        <f t="shared" si="61"/>
        <v>0.47521627923214255</v>
      </c>
      <c r="CA101" s="544">
        <f t="shared" si="26"/>
        <v>51.275503644747033</v>
      </c>
      <c r="CB101" s="649">
        <f t="shared" si="27"/>
        <v>9.726841017376453E-2</v>
      </c>
      <c r="CC101" s="525">
        <f t="shared" si="62"/>
        <v>0.26553132931308865</v>
      </c>
      <c r="CD101" s="417">
        <f t="shared" si="28"/>
        <v>9.726841017376453E-2</v>
      </c>
      <c r="CE101" s="525">
        <f t="shared" si="63"/>
        <v>0.26553132931308865</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6">
        <f>'Input data'!B122</f>
        <v>60.682333816399378</v>
      </c>
      <c r="C102" s="1507">
        <f>'Input data'!C122</f>
        <v>4403.1093139322493</v>
      </c>
      <c r="D102" s="1507">
        <f>'Input data'!D122</f>
        <v>50359792.847133137</v>
      </c>
      <c r="E102" s="1455">
        <f t="shared" si="71"/>
        <v>0.82449230769230786</v>
      </c>
      <c r="F102" s="1449">
        <f t="shared" si="72"/>
        <v>0.31946538461538454</v>
      </c>
      <c r="G102" s="1554">
        <f>B102*F102*'Input data'!$C$9</f>
        <v>593.34615107097636</v>
      </c>
      <c r="H102" s="1549">
        <f>'Input data'!I122</f>
        <v>424.26313389388866</v>
      </c>
      <c r="I102" s="1557">
        <f>'Input data'!K122</f>
        <v>25745.277116940699</v>
      </c>
      <c r="J102" s="1557">
        <f>J97*(1-$G$4)</f>
        <v>5572.0157409803969</v>
      </c>
      <c r="K102" s="1511">
        <f t="shared" si="73"/>
        <v>6392.2894869731472</v>
      </c>
      <c r="L102" s="1504">
        <f t="shared" si="74"/>
        <v>0.62615384615384628</v>
      </c>
      <c r="M102" s="1504">
        <f t="shared" si="29"/>
        <v>0.49969230769230777</v>
      </c>
      <c r="N102" s="1504">
        <f t="shared" si="75"/>
        <v>0.78430769230769215</v>
      </c>
      <c r="O102" s="1504">
        <f t="shared" si="76"/>
        <v>0.83846153846153837</v>
      </c>
      <c r="P102" s="1449">
        <f t="shared" si="30"/>
        <v>0.23600000000000002</v>
      </c>
      <c r="Q102" s="1508">
        <f t="shared" si="31"/>
        <v>106.02472547011826</v>
      </c>
      <c r="R102" s="1509">
        <f t="shared" si="32"/>
        <v>73.987348737881234</v>
      </c>
      <c r="S102" s="1509">
        <f t="shared" si="33"/>
        <v>216.66559739951708</v>
      </c>
      <c r="T102" s="1509">
        <f t="shared" si="34"/>
        <v>145.88904992271819</v>
      </c>
      <c r="U102" s="1511">
        <f t="shared" si="35"/>
        <v>0</v>
      </c>
      <c r="V102" s="1509">
        <f t="shared" si="9"/>
        <v>542.56672153023476</v>
      </c>
      <c r="W102" s="1454">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95.375563444580123</v>
      </c>
      <c r="BW102" s="114">
        <f t="shared" si="59"/>
        <v>0.51479453896459015</v>
      </c>
      <c r="BX102" s="1686">
        <f t="shared" si="25"/>
        <v>50.359792847133136</v>
      </c>
      <c r="BY102" s="527">
        <f t="shared" si="60"/>
        <v>95.375563444580123</v>
      </c>
      <c r="BZ102" s="417">
        <f t="shared" si="61"/>
        <v>0.51479453896459015</v>
      </c>
      <c r="CA102" s="544">
        <f t="shared" si="26"/>
        <v>50.359792847133136</v>
      </c>
      <c r="CB102" s="649">
        <f t="shared" si="27"/>
        <v>0.15764324460297707</v>
      </c>
      <c r="CC102" s="525">
        <f t="shared" si="62"/>
        <v>0.28688527869320646</v>
      </c>
      <c r="CD102" s="417">
        <f t="shared" si="28"/>
        <v>0.15764324460297707</v>
      </c>
      <c r="CE102" s="525">
        <f t="shared" si="63"/>
        <v>0.28688527869320646</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6">
        <f>'Input data'!B123</f>
        <v>61.381040636574369</v>
      </c>
      <c r="C103" s="1507">
        <f>'Input data'!C123</f>
        <v>4507.0199361395535</v>
      </c>
      <c r="D103" s="1507">
        <f>'Input data'!D123</f>
        <v>49986151.288104504</v>
      </c>
      <c r="E103" s="1455">
        <f t="shared" si="71"/>
        <v>0.84643076923076943</v>
      </c>
      <c r="F103" s="1449">
        <f t="shared" si="72"/>
        <v>0.32543846153846145</v>
      </c>
      <c r="G103" s="1554">
        <f>B103*F103*'Input data'!$C$9</f>
        <v>611.39963074599768</v>
      </c>
      <c r="H103" s="1549">
        <f>'Input data'!I123</f>
        <v>424.26313389388866</v>
      </c>
      <c r="I103" s="1557">
        <f>'Input data'!K123</f>
        <v>26041.712662141173</v>
      </c>
      <c r="J103" s="1557">
        <f>($J$107-$J$102)/($A$107-$A$102)+J102</f>
        <v>5237.6947965215732</v>
      </c>
      <c r="K103" s="1511">
        <f t="shared" si="73"/>
        <v>6864.3694979622578</v>
      </c>
      <c r="L103" s="1504">
        <f t="shared" si="74"/>
        <v>0.63538461538461555</v>
      </c>
      <c r="M103" s="1504">
        <f t="shared" si="29"/>
        <v>0.51223076923076927</v>
      </c>
      <c r="N103" s="1504">
        <f t="shared" si="75"/>
        <v>0.79876923076923056</v>
      </c>
      <c r="O103" s="1504">
        <f t="shared" si="76"/>
        <v>0.84615384615384603</v>
      </c>
      <c r="P103" s="1449">
        <f t="shared" si="30"/>
        <v>0.23600000000000002</v>
      </c>
      <c r="Q103" s="1508">
        <f t="shared" si="31"/>
        <v>128.6946148561783</v>
      </c>
      <c r="R103" s="1509">
        <f t="shared" si="32"/>
        <v>89.807102143687757</v>
      </c>
      <c r="S103" s="1509">
        <f t="shared" si="33"/>
        <v>262.99238678786514</v>
      </c>
      <c r="T103" s="1509">
        <f t="shared" si="34"/>
        <v>177.08260981849526</v>
      </c>
      <c r="U103" s="1511">
        <f t="shared" si="35"/>
        <v>0</v>
      </c>
      <c r="V103" s="1509">
        <f t="shared" si="9"/>
        <v>658.57671360622646</v>
      </c>
      <c r="W103" s="1454">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95.290411591740877</v>
      </c>
      <c r="BW103" s="114">
        <f t="shared" si="59"/>
        <v>0.53469570275482714</v>
      </c>
      <c r="BX103" s="1686">
        <f t="shared" si="25"/>
        <v>49.986151288104502</v>
      </c>
      <c r="BY103" s="527">
        <f t="shared" si="60"/>
        <v>95.290411591740877</v>
      </c>
      <c r="BZ103" s="417">
        <f t="shared" si="61"/>
        <v>0.53469570275482714</v>
      </c>
      <c r="CA103" s="544">
        <f t="shared" si="26"/>
        <v>49.986151288104502</v>
      </c>
      <c r="CB103" s="649">
        <f t="shared" si="27"/>
        <v>0.17661362793734681</v>
      </c>
      <c r="CC103" s="525">
        <f t="shared" si="62"/>
        <v>0.29135593588242947</v>
      </c>
      <c r="CD103" s="417">
        <f t="shared" si="28"/>
        <v>0.17661362793734681</v>
      </c>
      <c r="CE103" s="525">
        <f t="shared" si="63"/>
        <v>0.29135593588242947</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6">
        <f>'Input data'!B124</f>
        <v>62.087792487153699</v>
      </c>
      <c r="C104" s="1507">
        <f>'Input data'!C124</f>
        <v>4624.8292728728675</v>
      </c>
      <c r="D104" s="1507">
        <f>'Input data'!D124</f>
        <v>51073828.378576256</v>
      </c>
      <c r="E104" s="1455">
        <f t="shared" si="71"/>
        <v>0.868369230769231</v>
      </c>
      <c r="F104" s="1449">
        <f t="shared" si="72"/>
        <v>0.33141153846153837</v>
      </c>
      <c r="G104" s="1554">
        <f>B104*F104*'Input data'!$C$9</f>
        <v>629.79018860574899</v>
      </c>
      <c r="H104" s="1549">
        <f>'Input data'!I124</f>
        <v>424.26313389388866</v>
      </c>
      <c r="I104" s="1557">
        <f>'Input data'!K124</f>
        <v>26341.561417153265</v>
      </c>
      <c r="J104" s="1557">
        <f t="shared" ref="J104:J106" si="84">($J$107-$J$102)/($A$107-$A$102)+J103</f>
        <v>4903.3738520627494</v>
      </c>
      <c r="K104" s="1511">
        <f t="shared" si="73"/>
        <v>7338.035690518097</v>
      </c>
      <c r="L104" s="1504">
        <f t="shared" si="74"/>
        <v>0.64461538461538481</v>
      </c>
      <c r="M104" s="1504">
        <f t="shared" si="29"/>
        <v>0.52476923076923077</v>
      </c>
      <c r="N104" s="1504">
        <f t="shared" si="75"/>
        <v>0.81323076923076898</v>
      </c>
      <c r="O104" s="1504">
        <f t="shared" si="76"/>
        <v>0.8538461538461537</v>
      </c>
      <c r="P104" s="1449">
        <f t="shared" si="30"/>
        <v>0.23600000000000002</v>
      </c>
      <c r="Q104" s="1508">
        <f t="shared" si="31"/>
        <v>151.87249789664475</v>
      </c>
      <c r="R104" s="1509">
        <f t="shared" si="32"/>
        <v>105.98134931025186</v>
      </c>
      <c r="S104" s="1509">
        <f t="shared" si="33"/>
        <v>310.35728071380254</v>
      </c>
      <c r="T104" s="1509">
        <f t="shared" si="34"/>
        <v>208.97516432406155</v>
      </c>
      <c r="U104" s="1511">
        <f t="shared" si="35"/>
        <v>0</v>
      </c>
      <c r="V104" s="1509">
        <f t="shared" si="9"/>
        <v>777.18629224476069</v>
      </c>
      <c r="W104" s="1454">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96.739542593552457</v>
      </c>
      <c r="BW104" s="114">
        <f t="shared" si="59"/>
        <v>0.5500717918683522</v>
      </c>
      <c r="BX104" s="1686">
        <f t="shared" si="25"/>
        <v>51.073828378576259</v>
      </c>
      <c r="BY104" s="527">
        <f t="shared" si="60"/>
        <v>96.739542593552457</v>
      </c>
      <c r="BZ104" s="417">
        <f t="shared" si="61"/>
        <v>0.5500717918683522</v>
      </c>
      <c r="CA104" s="544">
        <f t="shared" si="26"/>
        <v>51.073828378576259</v>
      </c>
      <c r="CB104" s="649">
        <f t="shared" si="27"/>
        <v>0.19519681863773264</v>
      </c>
      <c r="CC104" s="525">
        <f t="shared" si="62"/>
        <v>0.29213779631812875</v>
      </c>
      <c r="CD104" s="417">
        <f t="shared" si="28"/>
        <v>0.19519681863773264</v>
      </c>
      <c r="CE104" s="525">
        <f t="shared" si="63"/>
        <v>0.29213779631812875</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6">
        <f>'Input data'!B125</f>
        <v>62.802682000000026</v>
      </c>
      <c r="C105" s="1507">
        <f>'Input data'!C125</f>
        <v>4737.3047749260231</v>
      </c>
      <c r="D105" s="1507">
        <f>'Input data'!D125</f>
        <v>51201731.8667503</v>
      </c>
      <c r="E105" s="1455">
        <f t="shared" si="71"/>
        <v>0.89030769230769258</v>
      </c>
      <c r="F105" s="1449">
        <f t="shared" si="72"/>
        <v>0.33738461538461528</v>
      </c>
      <c r="G105" s="1554">
        <f>B105*F105*'Input data'!$C$9</f>
        <v>648.52319354163239</v>
      </c>
      <c r="H105" s="1549">
        <f>'Input data'!I125</f>
        <v>424.26313389388866</v>
      </c>
      <c r="I105" s="1557">
        <f>'Input data'!K125</f>
        <v>26644.862682261322</v>
      </c>
      <c r="J105" s="1557">
        <f t="shared" si="84"/>
        <v>4569.0529076039256</v>
      </c>
      <c r="K105" s="1511">
        <f t="shared" si="73"/>
        <v>7813.3063282078183</v>
      </c>
      <c r="L105" s="1504">
        <f t="shared" si="74"/>
        <v>0.65384615384615408</v>
      </c>
      <c r="M105" s="1504">
        <f t="shared" si="29"/>
        <v>0.53730769230769226</v>
      </c>
      <c r="N105" s="1504">
        <f t="shared" si="75"/>
        <v>0.82769230769230739</v>
      </c>
      <c r="O105" s="1504">
        <f t="shared" si="76"/>
        <v>0.86153846153846136</v>
      </c>
      <c r="P105" s="1449">
        <f t="shared" si="30"/>
        <v>0.23600000000000002</v>
      </c>
      <c r="Q105" s="1508">
        <f t="shared" si="31"/>
        <v>175.56706735725811</v>
      </c>
      <c r="R105" s="1509">
        <f t="shared" si="32"/>
        <v>122.51615631968355</v>
      </c>
      <c r="S105" s="1509">
        <f t="shared" si="33"/>
        <v>358.77804317788559</v>
      </c>
      <c r="T105" s="1509">
        <f t="shared" si="34"/>
        <v>241.57867460535908</v>
      </c>
      <c r="U105" s="1511">
        <f t="shared" si="35"/>
        <v>0</v>
      </c>
      <c r="V105" s="1509">
        <f t="shared" si="9"/>
        <v>898.43994146018633</v>
      </c>
      <c r="W105" s="1454">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97.20323675199424</v>
      </c>
      <c r="BW105" s="114">
        <f t="shared" si="59"/>
        <v>0.56837627074733488</v>
      </c>
      <c r="BX105" s="1686">
        <f t="shared" si="25"/>
        <v>51.201731866750301</v>
      </c>
      <c r="BY105" s="527">
        <f t="shared" si="60"/>
        <v>97.20323675199424</v>
      </c>
      <c r="BZ105" s="417">
        <f t="shared" si="61"/>
        <v>0.56837627074733488</v>
      </c>
      <c r="CA105" s="544">
        <f t="shared" si="26"/>
        <v>51.201731866750301</v>
      </c>
      <c r="CB105" s="649">
        <f t="shared" si="27"/>
        <v>0.21340034507035144</v>
      </c>
      <c r="CC105" s="525">
        <f t="shared" si="62"/>
        <v>0.29531524673892984</v>
      </c>
      <c r="CD105" s="417">
        <f t="shared" si="28"/>
        <v>0.21340034507035144</v>
      </c>
      <c r="CE105" s="525">
        <f t="shared" si="63"/>
        <v>0.29531524673892984</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6">
        <f>'Input data'!B126</f>
        <v>63.421065342005143</v>
      </c>
      <c r="C106" s="1507">
        <f>'Input data'!C126</f>
        <v>4839.0369685354799</v>
      </c>
      <c r="D106" s="1507">
        <f>'Input data'!D126</f>
        <v>50537069.53539668</v>
      </c>
      <c r="E106" s="1455">
        <f t="shared" si="71"/>
        <v>0.91224615384615415</v>
      </c>
      <c r="F106" s="1449">
        <f t="shared" si="72"/>
        <v>0.3433576923076922</v>
      </c>
      <c r="G106" s="1554">
        <f>B106*F106*'Input data'!$C$9</f>
        <v>666.50338782740016</v>
      </c>
      <c r="H106" s="1549">
        <f>'Input data'!I126</f>
        <v>424.26313389388866</v>
      </c>
      <c r="I106" s="1557">
        <f>'Input data'!K126</f>
        <v>26907.219936888188</v>
      </c>
      <c r="J106" s="1557">
        <f t="shared" si="84"/>
        <v>4234.7319631451019</v>
      </c>
      <c r="K106" s="1511">
        <f t="shared" si="73"/>
        <v>8269.5495288873099</v>
      </c>
      <c r="L106" s="1504">
        <f t="shared" si="74"/>
        <v>0.66307692307692334</v>
      </c>
      <c r="M106" s="1504">
        <f t="shared" si="29"/>
        <v>0.54984615384615376</v>
      </c>
      <c r="N106" s="1504">
        <f t="shared" si="75"/>
        <v>0.84215384615384581</v>
      </c>
      <c r="O106" s="1504">
        <f t="shared" si="76"/>
        <v>0.86923076923076903</v>
      </c>
      <c r="P106" s="1449">
        <f t="shared" si="30"/>
        <v>0.23600000000000002</v>
      </c>
      <c r="Q106" s="1508">
        <f t="shared" si="31"/>
        <v>199.45775177427959</v>
      </c>
      <c r="R106" s="1509">
        <f t="shared" si="32"/>
        <v>139.18781844105331</v>
      </c>
      <c r="S106" s="1509">
        <f t="shared" si="33"/>
        <v>407.5995740853723</v>
      </c>
      <c r="T106" s="1509">
        <f t="shared" si="34"/>
        <v>274.45203726815635</v>
      </c>
      <c r="U106" s="1511">
        <f t="shared" si="35"/>
        <v>0</v>
      </c>
      <c r="V106" s="1509">
        <f t="shared" si="9"/>
        <v>1020.6971815688615</v>
      </c>
      <c r="W106" s="1454">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96.808053509580205</v>
      </c>
      <c r="BW106" s="114">
        <f t="shared" si="59"/>
        <v>0.58867201562867277</v>
      </c>
      <c r="BX106" s="1686">
        <f t="shared" si="25"/>
        <v>50.537069535396682</v>
      </c>
      <c r="BY106" s="527">
        <f t="shared" si="60"/>
        <v>96.808053509580205</v>
      </c>
      <c r="BZ106" s="417">
        <f t="shared" si="61"/>
        <v>0.58867201562867277</v>
      </c>
      <c r="CA106" s="544">
        <f t="shared" si="26"/>
        <v>50.537069535396682</v>
      </c>
      <c r="CB106" s="649">
        <f t="shared" si="27"/>
        <v>0.23044140465623386</v>
      </c>
      <c r="CC106" s="525">
        <f t="shared" si="62"/>
        <v>0.30025423701033693</v>
      </c>
      <c r="CD106" s="417">
        <f t="shared" si="28"/>
        <v>0.23044140465623386</v>
      </c>
      <c r="CE106" s="525">
        <f t="shared" si="63"/>
        <v>0.30025423701033693</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6">
        <f>'Input data'!B127</f>
        <v>64.045537563425796</v>
      </c>
      <c r="C107" s="1507">
        <f>'Input data'!C127</f>
        <v>4937.5264455117067</v>
      </c>
      <c r="D107" s="1507">
        <f>'Input data'!D127</f>
        <v>49329037.288601168</v>
      </c>
      <c r="E107" s="1455">
        <f t="shared" si="71"/>
        <v>0.93418461538461572</v>
      </c>
      <c r="F107" s="1449">
        <f t="shared" si="72"/>
        <v>0.34933076923076911</v>
      </c>
      <c r="G107" s="1554">
        <f>B107*F107*'Input data'!$C$9</f>
        <v>684.77478823938122</v>
      </c>
      <c r="H107" s="1549">
        <f>'Input data'!I127</f>
        <v>424.26313389388866</v>
      </c>
      <c r="I107" s="1557">
        <f>'Input data'!K127</f>
        <v>27172.160478577796</v>
      </c>
      <c r="J107" s="1557">
        <f>J97*(1-$G$5)</f>
        <v>3900.4110186862777</v>
      </c>
      <c r="K107" s="1511">
        <f t="shared" si="73"/>
        <v>8726.9932307216241</v>
      </c>
      <c r="L107" s="1504">
        <f t="shared" si="74"/>
        <v>0.67230769230769261</v>
      </c>
      <c r="M107" s="1504">
        <f t="shared" si="29"/>
        <v>0.56238461538461526</v>
      </c>
      <c r="N107" s="1504">
        <f t="shared" si="75"/>
        <v>0.85661538461538422</v>
      </c>
      <c r="O107" s="1504">
        <f t="shared" si="76"/>
        <v>0.87692307692307669</v>
      </c>
      <c r="P107" s="1449">
        <f t="shared" si="30"/>
        <v>0.23600000000000002</v>
      </c>
      <c r="Q107" s="1508">
        <f t="shared" si="31"/>
        <v>223.80189128168513</v>
      </c>
      <c r="R107" s="1509">
        <f t="shared" si="32"/>
        <v>156.17591561811867</v>
      </c>
      <c r="S107" s="1509">
        <f t="shared" si="33"/>
        <v>457.34775788081924</v>
      </c>
      <c r="T107" s="1509">
        <f t="shared" si="34"/>
        <v>307.94934997680866</v>
      </c>
      <c r="U107" s="1511">
        <f t="shared" si="35"/>
        <v>0</v>
      </c>
      <c r="V107" s="1509">
        <f t="shared" si="9"/>
        <v>1145.2749147574318</v>
      </c>
      <c r="W107" s="1454">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95.853717946039325</v>
      </c>
      <c r="BW107" s="114">
        <f t="shared" si="59"/>
        <v>0.61033700648771894</v>
      </c>
      <c r="BX107" s="1686">
        <f t="shared" si="25"/>
        <v>49.329037288601171</v>
      </c>
      <c r="BY107" s="527">
        <f t="shared" si="60"/>
        <v>95.853717946039325</v>
      </c>
      <c r="BZ107" s="417">
        <f t="shared" si="61"/>
        <v>0.61033700648771894</v>
      </c>
      <c r="CA107" s="544">
        <f t="shared" si="26"/>
        <v>49.329037288601171</v>
      </c>
      <c r="CB107" s="649">
        <f t="shared" si="27"/>
        <v>0.24719384179753368</v>
      </c>
      <c r="CC107" s="525">
        <f t="shared" si="62"/>
        <v>0.3065711826671903</v>
      </c>
      <c r="CD107" s="417">
        <f t="shared" si="28"/>
        <v>0.24719384179753368</v>
      </c>
      <c r="CE107" s="525">
        <f t="shared" si="63"/>
        <v>0.3065711826671903</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6">
        <f>'Input data'!B128</f>
        <v>64.676158618096451</v>
      </c>
      <c r="C108" s="1507">
        <f>'Input data'!C128</f>
        <v>5030.8888370380655</v>
      </c>
      <c r="D108" s="1507">
        <f>'Input data'!D128</f>
        <v>48528826.860263921</v>
      </c>
      <c r="E108" s="1455">
        <f t="shared" si="71"/>
        <v>0.9561230769230773</v>
      </c>
      <c r="F108" s="1449">
        <f t="shared" si="72"/>
        <v>0.35530384615384603</v>
      </c>
      <c r="G108" s="1554">
        <f>B108*F108*'Input data'!$C$9</f>
        <v>703.34138624405773</v>
      </c>
      <c r="H108" s="1549">
        <f>'Input data'!I128</f>
        <v>424.26313389388866</v>
      </c>
      <c r="I108" s="1557">
        <f>'Input data'!K128</f>
        <v>27439.709743531836</v>
      </c>
      <c r="J108" s="1557">
        <f>($J$112-$J$107)/($A$112-$A$107)+J107</f>
        <v>3566.0900742274539</v>
      </c>
      <c r="K108" s="1511">
        <f t="shared" si="73"/>
        <v>9185.6492543829336</v>
      </c>
      <c r="L108" s="1504">
        <f t="shared" si="74"/>
        <v>0.68153846153846187</v>
      </c>
      <c r="M108" s="1504">
        <f t="shared" si="29"/>
        <v>0.57492307692307676</v>
      </c>
      <c r="N108" s="1504">
        <f t="shared" si="75"/>
        <v>0.87107692307692264</v>
      </c>
      <c r="O108" s="1504">
        <f t="shared" si="76"/>
        <v>0.88461538461538436</v>
      </c>
      <c r="P108" s="1449">
        <f t="shared" si="30"/>
        <v>0.23600000000000002</v>
      </c>
      <c r="Q108" s="1508">
        <f t="shared" si="31"/>
        <v>248.60609946091267</v>
      </c>
      <c r="R108" s="1509">
        <f t="shared" si="32"/>
        <v>173.48506301356042</v>
      </c>
      <c r="S108" s="1509">
        <f t="shared" si="33"/>
        <v>508.03610967182613</v>
      </c>
      <c r="T108" s="1509">
        <f t="shared" si="34"/>
        <v>342.07971295872221</v>
      </c>
      <c r="U108" s="1511">
        <f t="shared" si="35"/>
        <v>0</v>
      </c>
      <c r="V108" s="1509">
        <f t="shared" si="9"/>
        <v>1272.2069851050214</v>
      </c>
      <c r="W108" s="1454">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95.28172157958501</v>
      </c>
      <c r="BW108" s="114">
        <f t="shared" si="59"/>
        <v>0.63046152845473658</v>
      </c>
      <c r="BX108" s="1686">
        <f t="shared" si="25"/>
        <v>48.528826860263919</v>
      </c>
      <c r="BY108" s="527">
        <f t="shared" si="60"/>
        <v>95.28172157958501</v>
      </c>
      <c r="BZ108" s="417">
        <f t="shared" si="61"/>
        <v>0.63046152845473658</v>
      </c>
      <c r="CA108" s="544">
        <f t="shared" si="26"/>
        <v>48.528826860263919</v>
      </c>
      <c r="CB108" s="649">
        <f t="shared" si="27"/>
        <v>0.26366335378378059</v>
      </c>
      <c r="CC108" s="525">
        <f t="shared" si="62"/>
        <v>0.31157315481005166</v>
      </c>
      <c r="CD108" s="417">
        <f t="shared" si="28"/>
        <v>0.26366335378378059</v>
      </c>
      <c r="CE108" s="525">
        <f t="shared" si="63"/>
        <v>0.31157315481005166</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6">
        <f>'Input data'!B129</f>
        <v>65.31298905018393</v>
      </c>
      <c r="C109" s="1507">
        <f>'Input data'!C129</f>
        <v>5147.1070268118992</v>
      </c>
      <c r="D109" s="1507">
        <f>'Input data'!D129</f>
        <v>46965110.037548423</v>
      </c>
      <c r="E109" s="1455">
        <f t="shared" si="71"/>
        <v>0.97806153846153887</v>
      </c>
      <c r="F109" s="1449">
        <f t="shared" si="72"/>
        <v>0.36127692307692294</v>
      </c>
      <c r="G109" s="1554">
        <f>B109*F109*'Input data'!$C$9</f>
        <v>722.20722367827375</v>
      </c>
      <c r="H109" s="1549">
        <f>'Input data'!I129</f>
        <v>424.26313389388866</v>
      </c>
      <c r="I109" s="1557">
        <f>'Input data'!K129</f>
        <v>27709.893418408268</v>
      </c>
      <c r="J109" s="1557">
        <f t="shared" ref="J109:J111" si="85">($J$112-$J$107)/($A$112-$A$107)+J108</f>
        <v>3231.7691297686301</v>
      </c>
      <c r="K109" s="1511">
        <f t="shared" si="73"/>
        <v>9645.5295369350624</v>
      </c>
      <c r="L109" s="1504">
        <f t="shared" si="74"/>
        <v>0.69076923076923114</v>
      </c>
      <c r="M109" s="1504">
        <f>($M$110-$M$97)/($A$110-$A$97)+M108</f>
        <v>0.58746153846153826</v>
      </c>
      <c r="N109" s="1504">
        <f t="shared" si="75"/>
        <v>0.88553846153846105</v>
      </c>
      <c r="O109" s="1504">
        <f t="shared" si="76"/>
        <v>0.89230769230769202</v>
      </c>
      <c r="P109" s="1449">
        <f t="shared" si="30"/>
        <v>0.23600000000000002</v>
      </c>
      <c r="Q109" s="1508">
        <f t="shared" si="31"/>
        <v>273.87707617034994</v>
      </c>
      <c r="R109" s="1509">
        <f t="shared" si="32"/>
        <v>191.11993599679636</v>
      </c>
      <c r="S109" s="1509">
        <f t="shared" si="33"/>
        <v>559.67832087625584</v>
      </c>
      <c r="T109" s="1509">
        <f t="shared" si="34"/>
        <v>376.85234515759566</v>
      </c>
      <c r="U109" s="1511">
        <f t="shared" si="35"/>
        <v>0</v>
      </c>
      <c r="V109" s="1509">
        <f t="shared" si="9"/>
        <v>1401.5276782009978</v>
      </c>
      <c r="W109" s="1454">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94.064178658545941</v>
      </c>
      <c r="BW109" s="114">
        <f t="shared" si="59"/>
        <v>0.65307131403485075</v>
      </c>
      <c r="BX109" s="1686">
        <f t="shared" si="25"/>
        <v>46.965110037548421</v>
      </c>
      <c r="BY109" s="527">
        <f t="shared" si="60"/>
        <v>94.064178658545941</v>
      </c>
      <c r="BZ109" s="417">
        <f t="shared" si="61"/>
        <v>0.65307131403485075</v>
      </c>
      <c r="CA109" s="544">
        <f t="shared" si="26"/>
        <v>46.965110037548421</v>
      </c>
      <c r="CB109" s="649">
        <f t="shared" si="27"/>
        <v>0.27985563375052358</v>
      </c>
      <c r="CC109" s="525">
        <f t="shared" si="62"/>
        <v>0.31941476685457393</v>
      </c>
      <c r="CD109" s="417">
        <f t="shared" si="28"/>
        <v>0.27985563375052358</v>
      </c>
      <c r="CE109" s="525">
        <f t="shared" si="63"/>
        <v>0.31941476685457393</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6">
        <f>'Input data'!B130</f>
        <v>65.956090000000003</v>
      </c>
      <c r="C110" s="1507">
        <f>'Input data'!C130</f>
        <v>5262.1824199605107</v>
      </c>
      <c r="D110" s="1507">
        <f>'Input data'!D130</f>
        <v>45521353.842330128</v>
      </c>
      <c r="E110" s="1455">
        <f>C52</f>
        <v>1</v>
      </c>
      <c r="F110" s="1449">
        <f>D52</f>
        <v>0.36725000000000002</v>
      </c>
      <c r="G110" s="1554">
        <f>B110*F110*'Input data'!$C$9</f>
        <v>741.37639335418953</v>
      </c>
      <c r="H110" s="1549">
        <f>'Input data'!I130</f>
        <v>424.26313389388866</v>
      </c>
      <c r="I110" s="1557">
        <f>'Input data'!K130</f>
        <v>27982.737442787373</v>
      </c>
      <c r="J110" s="1557">
        <f t="shared" si="85"/>
        <v>2897.4481853098064</v>
      </c>
      <c r="K110" s="1511">
        <f t="shared" si="73"/>
        <v>10106.646132979506</v>
      </c>
      <c r="L110" s="1449">
        <f>C19</f>
        <v>0.7</v>
      </c>
      <c r="M110" s="1449">
        <f>D19</f>
        <v>0.6</v>
      </c>
      <c r="N110" s="1449">
        <f>E19</f>
        <v>0.9</v>
      </c>
      <c r="O110" s="1449">
        <f>F19</f>
        <v>0.9</v>
      </c>
      <c r="P110" s="1449">
        <f>G19</f>
        <v>0.23600000000000002</v>
      </c>
      <c r="Q110" s="1508">
        <f t="shared" si="31"/>
        <v>299.62160860317135</v>
      </c>
      <c r="R110" s="1509">
        <f t="shared" si="32"/>
        <v>209.08527088217454</v>
      </c>
      <c r="S110" s="1509">
        <f t="shared" si="33"/>
        <v>612.28826138396289</v>
      </c>
      <c r="T110" s="1509">
        <f t="shared" si="34"/>
        <v>412.27658568899597</v>
      </c>
      <c r="U110" s="1511">
        <f t="shared" si="35"/>
        <v>0</v>
      </c>
      <c r="V110" s="1509">
        <f t="shared" si="9"/>
        <v>1533.2717265583046</v>
      </c>
      <c r="W110" s="1454">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92.961458009272988</v>
      </c>
      <c r="BW110" s="114">
        <f t="shared" si="59"/>
        <v>0.67502380946204188</v>
      </c>
      <c r="BX110" s="1686">
        <f t="shared" si="25"/>
        <v>45.521353842330129</v>
      </c>
      <c r="BY110" s="527">
        <f t="shared" si="60"/>
        <v>92.961458009272988</v>
      </c>
      <c r="BZ110" s="417">
        <f t="shared" si="61"/>
        <v>0.67502380946204188</v>
      </c>
      <c r="CA110" s="544">
        <f t="shared" si="26"/>
        <v>45.521353842330129</v>
      </c>
      <c r="CB110" s="649">
        <f t="shared" si="27"/>
        <v>0.29577637461695849</v>
      </c>
      <c r="CC110" s="525">
        <f t="shared" si="62"/>
        <v>0.3268883557735357</v>
      </c>
      <c r="CD110" s="417">
        <f t="shared" si="28"/>
        <v>0.29577637461695849</v>
      </c>
      <c r="CE110" s="525">
        <f t="shared" si="63"/>
        <v>0.3268883557735357</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6">
        <f>'Input data'!B131</f>
        <v>66.518977190687664</v>
      </c>
      <c r="C111" s="1507">
        <f>'Input data'!C131</f>
        <v>5387.7672265735409</v>
      </c>
      <c r="D111" s="1507">
        <f>'Input data'!D131</f>
        <v>44085520.531554446</v>
      </c>
      <c r="E111" s="1455">
        <f>E110</f>
        <v>1</v>
      </c>
      <c r="F111" s="1449">
        <f>F110</f>
        <v>0.36725000000000002</v>
      </c>
      <c r="G111" s="1554">
        <f>B111*F111*'Input data'!$C$9</f>
        <v>747.70350090858369</v>
      </c>
      <c r="H111" s="1549">
        <f>'Input data'!I131</f>
        <v>424.26313389388866</v>
      </c>
      <c r="I111" s="1557">
        <f>'Input data'!K131</f>
        <v>28221.549726337245</v>
      </c>
      <c r="J111" s="1557">
        <f t="shared" si="85"/>
        <v>2563.1272408509826</v>
      </c>
      <c r="K111" s="1511">
        <f t="shared" si="73"/>
        <v>10551.947551239295</v>
      </c>
      <c r="L111" s="1449">
        <f>L110</f>
        <v>0.7</v>
      </c>
      <c r="M111" s="1449">
        <f t="shared" ref="M111:P126" si="87">M110</f>
        <v>0.6</v>
      </c>
      <c r="N111" s="1449">
        <f t="shared" si="87"/>
        <v>0.9</v>
      </c>
      <c r="O111" s="1449">
        <f t="shared" si="87"/>
        <v>0.9</v>
      </c>
      <c r="P111" s="1449">
        <f t="shared" si="87"/>
        <v>0.23600000000000002</v>
      </c>
      <c r="Q111" s="1508">
        <f t="shared" si="31"/>
        <v>302.1786608107227</v>
      </c>
      <c r="R111" s="1509">
        <f t="shared" si="32"/>
        <v>210.86966138714581</v>
      </c>
      <c r="S111" s="1509">
        <f t="shared" si="33"/>
        <v>617.5136957500913</v>
      </c>
      <c r="T111" s="1509">
        <f t="shared" si="34"/>
        <v>415.79506607655048</v>
      </c>
      <c r="U111" s="1511">
        <f t="shared" si="35"/>
        <v>0</v>
      </c>
      <c r="V111" s="1509">
        <f t="shared" si="9"/>
        <v>1546.3570840245102</v>
      </c>
      <c r="W111" s="1454">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91.775978456058198</v>
      </c>
      <c r="BW111" s="114">
        <f t="shared" si="59"/>
        <v>0.68385584062527216</v>
      </c>
      <c r="BX111" s="1686">
        <f t="shared" si="25"/>
        <v>44.085520531554444</v>
      </c>
      <c r="BY111" s="527">
        <f t="shared" si="60"/>
        <v>91.775978456058198</v>
      </c>
      <c r="BZ111" s="417">
        <f t="shared" si="61"/>
        <v>0.68385584062527216</v>
      </c>
      <c r="CA111" s="544">
        <f t="shared" si="26"/>
        <v>44.085520531554444</v>
      </c>
      <c r="CB111" s="649">
        <f t="shared" si="27"/>
        <v>0.31568192095747505</v>
      </c>
      <c r="CC111" s="525">
        <f t="shared" si="62"/>
        <v>0.33462375034984448</v>
      </c>
      <c r="CD111" s="417">
        <f t="shared" si="28"/>
        <v>0.31568192095747505</v>
      </c>
      <c r="CE111" s="525">
        <f t="shared" si="63"/>
        <v>0.33462375034984448</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6">
        <f>'Input data'!B132</f>
        <v>67.08666821358311</v>
      </c>
      <c r="C112" s="1507">
        <f>'Input data'!C132</f>
        <v>5535.3993263804541</v>
      </c>
      <c r="D112" s="1507">
        <f>'Input data'!D132</f>
        <v>41932973.31689404</v>
      </c>
      <c r="E112" s="1455">
        <f t="shared" ref="E112:E130" si="88">E111</f>
        <v>1</v>
      </c>
      <c r="F112" s="1449">
        <f t="shared" ref="F112:F130" si="89">F111</f>
        <v>0.36725000000000002</v>
      </c>
      <c r="G112" s="1554">
        <f>B112*F112*'Input data'!$C$9</f>
        <v>754.08460571776459</v>
      </c>
      <c r="H112" s="1549">
        <f>'Input data'!I132</f>
        <v>424.26313389388866</v>
      </c>
      <c r="I112" s="1557">
        <f>'Input data'!K132</f>
        <v>28462.400098794296</v>
      </c>
      <c r="J112" s="1557">
        <f>J97*(1-$G$6)</f>
        <v>2228.8062963921584</v>
      </c>
      <c r="K112" s="1511">
        <f t="shared" si="73"/>
        <v>10998.19610701314</v>
      </c>
      <c r="L112" s="1449">
        <f t="shared" ref="L112:P127" si="90">L111</f>
        <v>0.7</v>
      </c>
      <c r="M112" s="1449">
        <f t="shared" si="87"/>
        <v>0.6</v>
      </c>
      <c r="N112" s="1449">
        <f t="shared" si="87"/>
        <v>0.9</v>
      </c>
      <c r="O112" s="1449">
        <f t="shared" si="87"/>
        <v>0.9</v>
      </c>
      <c r="P112" s="1449">
        <f t="shared" si="87"/>
        <v>0.23600000000000002</v>
      </c>
      <c r="Q112" s="1508">
        <f t="shared" si="31"/>
        <v>304.75753559650093</v>
      </c>
      <c r="R112" s="1509">
        <f t="shared" si="32"/>
        <v>212.66928036546119</v>
      </c>
      <c r="S112" s="1509">
        <f t="shared" si="33"/>
        <v>622.78372539272095</v>
      </c>
      <c r="T112" s="1509">
        <f t="shared" si="34"/>
        <v>419.34357413161615</v>
      </c>
      <c r="U112" s="1511">
        <f t="shared" si="35"/>
        <v>0</v>
      </c>
      <c r="V112" s="1509">
        <f t="shared" si="9"/>
        <v>1559.5541154862992</v>
      </c>
      <c r="W112" s="1454">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89.988360184221079</v>
      </c>
      <c r="BW112" s="114">
        <f t="shared" si="59"/>
        <v>0.69564296726310382</v>
      </c>
      <c r="BX112" s="1686">
        <f t="shared" si="25"/>
        <v>41.932973316894042</v>
      </c>
      <c r="BY112" s="527">
        <f t="shared" si="60"/>
        <v>89.988360184221079</v>
      </c>
      <c r="BZ112" s="417">
        <f t="shared" si="61"/>
        <v>0.69564296726310382</v>
      </c>
      <c r="CA112" s="544">
        <f t="shared" si="26"/>
        <v>41.932973316894042</v>
      </c>
      <c r="CB112" s="649">
        <f t="shared" si="27"/>
        <v>0.33524737223917422</v>
      </c>
      <c r="CC112" s="525">
        <f t="shared" si="62"/>
        <v>0.34517500304929016</v>
      </c>
      <c r="CD112" s="417">
        <f t="shared" si="28"/>
        <v>0.33524737223917422</v>
      </c>
      <c r="CE112" s="525">
        <f t="shared" si="63"/>
        <v>0.34517500304929016</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1">
        <f>'Input data'!B133</f>
        <v>67.659204065895452</v>
      </c>
      <c r="C113" s="1550">
        <f>'Input data'!C133</f>
        <v>5694.7516404688276</v>
      </c>
      <c r="D113" s="1550">
        <f>'Input data'!D133</f>
        <v>41056214.022582531</v>
      </c>
      <c r="E113" s="1454">
        <f t="shared" si="88"/>
        <v>1</v>
      </c>
      <c r="F113" s="1504">
        <f t="shared" si="89"/>
        <v>0.36725000000000002</v>
      </c>
      <c r="G113" s="1511">
        <f>B113*F113*'Input data'!$C$9</f>
        <v>760.52016860897436</v>
      </c>
      <c r="H113" s="1542">
        <f>'Input data'!I133</f>
        <v>424.26313389388866</v>
      </c>
      <c r="I113" s="1509">
        <f>'Input data'!K133</f>
        <v>28705.305953762938</v>
      </c>
      <c r="J113" s="1509">
        <f>J112</f>
        <v>2228.8062963921584</v>
      </c>
      <c r="K113" s="1511">
        <f t="shared" si="73"/>
        <v>11111.078938971066</v>
      </c>
      <c r="L113" s="1504">
        <f t="shared" si="90"/>
        <v>0.7</v>
      </c>
      <c r="M113" s="1504">
        <f t="shared" si="87"/>
        <v>0.6</v>
      </c>
      <c r="N113" s="1504">
        <f t="shared" si="87"/>
        <v>0.9</v>
      </c>
      <c r="O113" s="1504">
        <f t="shared" si="87"/>
        <v>0.9</v>
      </c>
      <c r="P113" s="1504">
        <f t="shared" si="87"/>
        <v>0.23600000000000002</v>
      </c>
      <c r="Q113" s="1508">
        <f t="shared" si="31"/>
        <v>307.35841920031703</v>
      </c>
      <c r="R113" s="1509">
        <f t="shared" si="32"/>
        <v>214.484257781049</v>
      </c>
      <c r="S113" s="1509">
        <f t="shared" si="33"/>
        <v>628.09873090005567</v>
      </c>
      <c r="T113" s="1509">
        <f t="shared" si="34"/>
        <v>422.92236611846511</v>
      </c>
      <c r="U113" s="1511">
        <f t="shared" si="35"/>
        <v>0</v>
      </c>
      <c r="V113" s="1509">
        <f t="shared" si="9"/>
        <v>1572.8637739998867</v>
      </c>
      <c r="W113" s="1454">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90.005935356484926</v>
      </c>
      <c r="BW113" s="114">
        <f t="shared" si="59"/>
        <v>0.7015470746062723</v>
      </c>
      <c r="BX113" s="1686">
        <f t="shared" si="25"/>
        <v>41.05621402258253</v>
      </c>
      <c r="BY113" s="527">
        <f t="shared" si="60"/>
        <v>90.005935356484926</v>
      </c>
      <c r="BZ113" s="417">
        <f t="shared" si="61"/>
        <v>0.7015470746062723</v>
      </c>
      <c r="CA113" s="544">
        <f t="shared" si="26"/>
        <v>41.05621402258253</v>
      </c>
      <c r="CB113" s="649">
        <f t="shared" si="27"/>
        <v>0.33818146943254268</v>
      </c>
      <c r="CC113" s="525">
        <f t="shared" si="62"/>
        <v>0.35193746497352119</v>
      </c>
      <c r="CD113" s="417">
        <f t="shared" si="28"/>
        <v>0.33818146943254268</v>
      </c>
      <c r="CE113" s="525">
        <f t="shared" si="63"/>
        <v>0.35193746497352119</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1">
        <f>'Input data'!B134</f>
        <v>68.236626094715163</v>
      </c>
      <c r="C114" s="1550">
        <f>'Input data'!C134</f>
        <v>5880.7243334969316</v>
      </c>
      <c r="D114" s="1550">
        <f>'Input data'!D134</f>
        <v>40488564.369250603</v>
      </c>
      <c r="E114" s="1454">
        <f t="shared" si="88"/>
        <v>1</v>
      </c>
      <c r="F114" s="1504">
        <f t="shared" si="89"/>
        <v>0.36725000000000002</v>
      </c>
      <c r="G114" s="1511">
        <f>B114*F114*'Input data'!$C$9</f>
        <v>767.01065434227985</v>
      </c>
      <c r="H114" s="1542">
        <f>'Input data'!I134</f>
        <v>424.26313389388866</v>
      </c>
      <c r="I114" s="1509">
        <f>'Input data'!K134</f>
        <v>28950.284833289355</v>
      </c>
      <c r="J114" s="1509">
        <f t="shared" ref="J114:J130" si="91">J113</f>
        <v>2228.8062963921584</v>
      </c>
      <c r="K114" s="1511">
        <f t="shared" si="73"/>
        <v>11224.925143684375</v>
      </c>
      <c r="L114" s="1504">
        <f t="shared" si="90"/>
        <v>0.7</v>
      </c>
      <c r="M114" s="1504">
        <f t="shared" si="87"/>
        <v>0.6</v>
      </c>
      <c r="N114" s="1504">
        <f t="shared" si="87"/>
        <v>0.9</v>
      </c>
      <c r="O114" s="1504">
        <f t="shared" si="87"/>
        <v>0.9</v>
      </c>
      <c r="P114" s="1504">
        <f t="shared" si="87"/>
        <v>0.23600000000000002</v>
      </c>
      <c r="Q114" s="1508">
        <f t="shared" si="31"/>
        <v>309.98149945140312</v>
      </c>
      <c r="R114" s="1509">
        <f t="shared" si="32"/>
        <v>216.31472470698566</v>
      </c>
      <c r="S114" s="1509">
        <f t="shared" si="33"/>
        <v>633.45909610834542</v>
      </c>
      <c r="T114" s="1509">
        <f t="shared" si="34"/>
        <v>426.5317004883982</v>
      </c>
      <c r="U114" s="1511">
        <f t="shared" si="35"/>
        <v>0</v>
      </c>
      <c r="V114" s="1509">
        <f t="shared" si="9"/>
        <v>1586.2870207551323</v>
      </c>
      <c r="W114" s="1454">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90.469837048480642</v>
      </c>
      <c r="BW114" s="114">
        <f t="shared" si="59"/>
        <v>0.70684212790468459</v>
      </c>
      <c r="BX114" s="1686">
        <f t="shared" si="25"/>
        <v>40.488564369250604</v>
      </c>
      <c r="BY114" s="527">
        <f t="shared" si="60"/>
        <v>90.469837048480642</v>
      </c>
      <c r="BZ114" s="417">
        <f t="shared" si="61"/>
        <v>0.70684212790468459</v>
      </c>
      <c r="CA114" s="544">
        <f t="shared" si="26"/>
        <v>40.488564369250604</v>
      </c>
      <c r="CB114" s="649">
        <f t="shared" si="27"/>
        <v>0.34108865163413971</v>
      </c>
      <c r="CC114" s="525">
        <f t="shared" si="62"/>
        <v>0.35819600168190047</v>
      </c>
      <c r="CD114" s="417">
        <f t="shared" si="28"/>
        <v>0.34108865163413971</v>
      </c>
      <c r="CE114" s="525">
        <f t="shared" si="63"/>
        <v>0.35819600168190047</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1">
        <f>'Input data'!B135</f>
        <v>68.818976000000006</v>
      </c>
      <c r="C115" s="1550">
        <f>'Input data'!C135</f>
        <v>6030.7021264561972</v>
      </c>
      <c r="D115" s="1550">
        <f>'Input data'!D135</f>
        <v>31941700.142198853</v>
      </c>
      <c r="E115" s="1454">
        <f t="shared" si="88"/>
        <v>1</v>
      </c>
      <c r="F115" s="1504">
        <f t="shared" si="89"/>
        <v>0.36725000000000002</v>
      </c>
      <c r="G115" s="1511">
        <f>B115*F115*'Input data'!$C$9</f>
        <v>773.55653164413684</v>
      </c>
      <c r="H115" s="1542">
        <f>'Input data'!I135</f>
        <v>424.26313389388866</v>
      </c>
      <c r="I115" s="1509">
        <f>'Input data'!K135</f>
        <v>29197.354429128314</v>
      </c>
      <c r="J115" s="1509">
        <f t="shared" si="91"/>
        <v>2228.8062963921584</v>
      </c>
      <c r="K115" s="1511">
        <f t="shared" si="73"/>
        <v>11339.742942837889</v>
      </c>
      <c r="L115" s="1504">
        <f t="shared" si="90"/>
        <v>0.7</v>
      </c>
      <c r="M115" s="1504">
        <f t="shared" si="87"/>
        <v>0.6</v>
      </c>
      <c r="N115" s="1504">
        <f t="shared" si="87"/>
        <v>0.9</v>
      </c>
      <c r="O115" s="1504">
        <f t="shared" si="87"/>
        <v>0.9</v>
      </c>
      <c r="P115" s="1504">
        <f t="shared" si="87"/>
        <v>0.23600000000000002</v>
      </c>
      <c r="Q115" s="1508">
        <f t="shared" si="31"/>
        <v>312.62696578197756</v>
      </c>
      <c r="R115" s="1509">
        <f t="shared" si="32"/>
        <v>218.16081333496061</v>
      </c>
      <c r="S115" s="1509">
        <f t="shared" si="33"/>
        <v>638.86520812960043</v>
      </c>
      <c r="T115" s="1509">
        <f t="shared" si="34"/>
        <v>430.17183789841056</v>
      </c>
      <c r="U115" s="1511">
        <f t="shared" si="35"/>
        <v>0</v>
      </c>
      <c r="V115" s="1509">
        <f t="shared" si="9"/>
        <v>1599.824825144949</v>
      </c>
      <c r="W115" s="1454">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82.770683428408063</v>
      </c>
      <c r="BW115" s="114">
        <f t="shared" si="59"/>
        <v>0.74152893880336357</v>
      </c>
      <c r="BX115" s="1686">
        <f t="shared" si="25"/>
        <v>31.941700142198854</v>
      </c>
      <c r="BY115" s="527">
        <f t="shared" si="60"/>
        <v>82.770683428408063</v>
      </c>
      <c r="BZ115" s="417">
        <f t="shared" si="61"/>
        <v>0.74152893880336357</v>
      </c>
      <c r="CA115" s="544">
        <f t="shared" si="26"/>
        <v>31.941700142198854</v>
      </c>
      <c r="CB115" s="649">
        <f t="shared" si="27"/>
        <v>0.34396919974586804</v>
      </c>
      <c r="CC115" s="525">
        <f t="shared" si="62"/>
        <v>0.39121596804274272</v>
      </c>
      <c r="CD115" s="417">
        <f t="shared" si="28"/>
        <v>0.34396919974586804</v>
      </c>
      <c r="CE115" s="525">
        <f t="shared" si="63"/>
        <v>0.39121596804274272</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1">
        <f>'Input data'!B136</f>
        <v>69.322810489383542</v>
      </c>
      <c r="C116" s="1550">
        <f>'Input data'!C136</f>
        <v>6175.9287194301432</v>
      </c>
      <c r="D116" s="1550">
        <f>'Input data'!D136</f>
        <v>22500187.169642892</v>
      </c>
      <c r="E116" s="1454">
        <f t="shared" si="88"/>
        <v>1</v>
      </c>
      <c r="F116" s="1504">
        <f t="shared" si="89"/>
        <v>0.36725000000000002</v>
      </c>
      <c r="G116" s="1511">
        <f>B116*F116*'Input data'!$C$9</f>
        <v>779.21986002801486</v>
      </c>
      <c r="H116" s="1542">
        <f>'Input data'!I136</f>
        <v>424.26313389388866</v>
      </c>
      <c r="I116" s="1509">
        <f>'Input data'!K136</f>
        <v>29411.112828557998</v>
      </c>
      <c r="J116" s="1509">
        <f t="shared" si="91"/>
        <v>2228.8062963921584</v>
      </c>
      <c r="K116" s="1511">
        <f t="shared" si="73"/>
        <v>11439.080414491387</v>
      </c>
      <c r="L116" s="1504">
        <f t="shared" si="90"/>
        <v>0.7</v>
      </c>
      <c r="M116" s="1504">
        <f t="shared" si="87"/>
        <v>0.6</v>
      </c>
      <c r="N116" s="1504">
        <f t="shared" si="87"/>
        <v>0.9</v>
      </c>
      <c r="O116" s="1504">
        <f t="shared" si="87"/>
        <v>0.9</v>
      </c>
      <c r="P116" s="1504">
        <f t="shared" si="87"/>
        <v>0.23600000000000002</v>
      </c>
      <c r="Q116" s="1508">
        <f t="shared" si="31"/>
        <v>314.91575670604311</v>
      </c>
      <c r="R116" s="1509">
        <f t="shared" si="32"/>
        <v>219.75800277861231</v>
      </c>
      <c r="S116" s="1509">
        <f t="shared" si="33"/>
        <v>643.5424402628264</v>
      </c>
      <c r="T116" s="1509">
        <f t="shared" si="34"/>
        <v>433.32119322004019</v>
      </c>
      <c r="U116" s="1511">
        <f t="shared" si="35"/>
        <v>0</v>
      </c>
      <c r="V116" s="1509">
        <f t="shared" si="9"/>
        <v>1611.537392967522</v>
      </c>
      <c r="W116" s="1454">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74.329785258024017</v>
      </c>
      <c r="BW116" s="114">
        <f t="shared" si="59"/>
        <v>0.78586312457835339</v>
      </c>
      <c r="BX116" s="1686">
        <f t="shared" si="25"/>
        <v>22.500187169642892</v>
      </c>
      <c r="BY116" s="527">
        <f t="shared" si="60"/>
        <v>74.329785258024017</v>
      </c>
      <c r="BZ116" s="417">
        <f t="shared" si="61"/>
        <v>0.78586312457835339</v>
      </c>
      <c r="CA116" s="544">
        <f t="shared" si="26"/>
        <v>22.500187169642892</v>
      </c>
      <c r="CB116" s="649">
        <f t="shared" si="27"/>
        <v>0.34642074566368197</v>
      </c>
      <c r="CC116" s="525">
        <f t="shared" si="62"/>
        <v>0.43072783169761708</v>
      </c>
      <c r="CD116" s="417">
        <f t="shared" si="28"/>
        <v>0.34642074566368197</v>
      </c>
      <c r="CE116" s="525">
        <f t="shared" si="63"/>
        <v>0.43072783169761708</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1">
        <f>'Input data'!B137</f>
        <v>69.830333629884052</v>
      </c>
      <c r="C117" s="1550">
        <f>'Input data'!C137</f>
        <v>6338.2033947034479</v>
      </c>
      <c r="D117" s="1550">
        <f>'Input data'!D137</f>
        <v>17781297.212015409</v>
      </c>
      <c r="E117" s="1454">
        <f t="shared" si="88"/>
        <v>1</v>
      </c>
      <c r="F117" s="1504">
        <f t="shared" si="89"/>
        <v>0.36725000000000002</v>
      </c>
      <c r="G117" s="1511">
        <f>B117*F117*'Input data'!$C$9</f>
        <v>784.92465052496607</v>
      </c>
      <c r="H117" s="1542">
        <f>'Input data'!I137</f>
        <v>424.26313389388866</v>
      </c>
      <c r="I117" s="1509">
        <f>'Input data'!K137</f>
        <v>29626.436186670413</v>
      </c>
      <c r="J117" s="1509">
        <f t="shared" si="91"/>
        <v>2228.8062963921584</v>
      </c>
      <c r="K117" s="1511">
        <f t="shared" si="73"/>
        <v>11539.145151315281</v>
      </c>
      <c r="L117" s="1504">
        <f t="shared" si="90"/>
        <v>0.7</v>
      </c>
      <c r="M117" s="1504">
        <f t="shared" si="87"/>
        <v>0.6</v>
      </c>
      <c r="N117" s="1504">
        <f t="shared" si="87"/>
        <v>0.9</v>
      </c>
      <c r="O117" s="1504">
        <f t="shared" si="87"/>
        <v>0.9</v>
      </c>
      <c r="P117" s="1504">
        <f>P116</f>
        <v>0.23600000000000002</v>
      </c>
      <c r="Q117" s="1508">
        <f t="shared" si="31"/>
        <v>317.2213042265239</v>
      </c>
      <c r="R117" s="1509">
        <f t="shared" si="32"/>
        <v>221.36688549604628</v>
      </c>
      <c r="S117" s="1509">
        <f t="shared" si="33"/>
        <v>648.25391514420835</v>
      </c>
      <c r="T117" s="1509">
        <f t="shared" si="34"/>
        <v>436.49360546466687</v>
      </c>
      <c r="U117" s="1511">
        <f t="shared" si="35"/>
        <v>0</v>
      </c>
      <c r="V117" s="1509">
        <f t="shared" si="9"/>
        <v>1623.3357103314454</v>
      </c>
      <c r="W117" s="1454">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73.342970665209208</v>
      </c>
      <c r="BW117" s="114">
        <f t="shared" si="59"/>
        <v>0.78298195694075601</v>
      </c>
      <c r="BX117" s="1686">
        <f t="shared" si="25"/>
        <v>17.78129721201541</v>
      </c>
      <c r="BY117" s="527">
        <f t="shared" si="60"/>
        <v>73.342970665209208</v>
      </c>
      <c r="BZ117" s="417">
        <f t="shared" si="61"/>
        <v>0.78298195694075601</v>
      </c>
      <c r="CA117" s="544">
        <f t="shared" si="26"/>
        <v>17.78129721201541</v>
      </c>
      <c r="CB117" s="649">
        <f t="shared" si="27"/>
        <v>0.34885304461912336</v>
      </c>
      <c r="CC117" s="525">
        <f t="shared" si="62"/>
        <v>0.42520403923452976</v>
      </c>
      <c r="CD117" s="417">
        <f t="shared" si="28"/>
        <v>0.34885304461912336</v>
      </c>
      <c r="CE117" s="525">
        <f t="shared" si="63"/>
        <v>0.42520403923452976</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1">
        <f>'Input data'!B138</f>
        <v>70.341572426693446</v>
      </c>
      <c r="C118" s="1550">
        <f>'Input data'!C138</f>
        <v>6499.2753713641341</v>
      </c>
      <c r="D118" s="1550">
        <f>'Input data'!D138</f>
        <v>14837853.800490763</v>
      </c>
      <c r="E118" s="1454">
        <f t="shared" si="88"/>
        <v>1</v>
      </c>
      <c r="F118" s="1504">
        <f t="shared" si="89"/>
        <v>0.36725000000000002</v>
      </c>
      <c r="G118" s="1511">
        <f>B118*F118*'Input data'!$C$9</f>
        <v>790.67120668560699</v>
      </c>
      <c r="H118" s="1542">
        <f>'Input data'!I138</f>
        <v>424.26313389388866</v>
      </c>
      <c r="I118" s="1509">
        <f>'Input data'!K138</f>
        <v>29843.335960772907</v>
      </c>
      <c r="J118" s="1509">
        <f t="shared" si="91"/>
        <v>2228.8062963921584</v>
      </c>
      <c r="K118" s="1511">
        <f t="shared" si="73"/>
        <v>11639.94247773166</v>
      </c>
      <c r="L118" s="1504">
        <f t="shared" si="90"/>
        <v>0.7</v>
      </c>
      <c r="M118" s="1504">
        <f t="shared" si="87"/>
        <v>0.6</v>
      </c>
      <c r="N118" s="1504">
        <f t="shared" si="87"/>
        <v>0.9</v>
      </c>
      <c r="O118" s="1504">
        <f t="shared" si="87"/>
        <v>0.9</v>
      </c>
      <c r="P118" s="1504">
        <f t="shared" si="87"/>
        <v>0.23600000000000002</v>
      </c>
      <c r="Q118" s="1508">
        <f t="shared" si="31"/>
        <v>319.54373102108343</v>
      </c>
      <c r="R118" s="1509">
        <f t="shared" si="32"/>
        <v>222.9875470955493</v>
      </c>
      <c r="S118" s="1509">
        <f t="shared" si="33"/>
        <v>652.99988347026374</v>
      </c>
      <c r="T118" s="1509">
        <f t="shared" si="34"/>
        <v>439.68924343563094</v>
      </c>
      <c r="U118" s="1511">
        <f t="shared" si="35"/>
        <v>0</v>
      </c>
      <c r="V118" s="1509">
        <f t="shared" si="9"/>
        <v>1635.2204050225273</v>
      </c>
      <c r="W118" s="1454">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73.060712275477712</v>
      </c>
      <c r="BW118" s="114">
        <f t="shared" si="59"/>
        <v>0.78214354240209638</v>
      </c>
      <c r="BX118" s="1686">
        <f t="shared" si="25"/>
        <v>14.837853800490763</v>
      </c>
      <c r="BY118" s="527">
        <f t="shared" si="60"/>
        <v>73.060712275477712</v>
      </c>
      <c r="BZ118" s="417">
        <f t="shared" si="61"/>
        <v>0.78214354240209638</v>
      </c>
      <c r="CA118" s="544">
        <f t="shared" si="26"/>
        <v>14.837853800490763</v>
      </c>
      <c r="CB118" s="649">
        <f t="shared" si="27"/>
        <v>0.35126626747362921</v>
      </c>
      <c r="CC118" s="525">
        <f t="shared" si="62"/>
        <v>0.42276904897106915</v>
      </c>
      <c r="CD118" s="417">
        <f t="shared" si="28"/>
        <v>0.35126626747362921</v>
      </c>
      <c r="CE118" s="525">
        <f t="shared" si="63"/>
        <v>0.42276904897106915</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1">
        <f>'Input data'!B139</f>
        <v>70.856554082712819</v>
      </c>
      <c r="C119" s="1550">
        <f>'Input data'!C139</f>
        <v>6668.6889746882025</v>
      </c>
      <c r="D119" s="1550">
        <f>'Input data'!D139</f>
        <v>11894410.388966125</v>
      </c>
      <c r="E119" s="1454">
        <f t="shared" si="88"/>
        <v>1</v>
      </c>
      <c r="F119" s="1504">
        <f t="shared" si="89"/>
        <v>0.36725000000000002</v>
      </c>
      <c r="G119" s="1511">
        <f>B119*F119*'Input data'!$C$9</f>
        <v>796.45983428289492</v>
      </c>
      <c r="H119" s="1542">
        <f>'Input data'!I139</f>
        <v>424.26313389388866</v>
      </c>
      <c r="I119" s="1509">
        <f>'Input data'!K139</f>
        <v>30061.823692053553</v>
      </c>
      <c r="J119" s="1509">
        <f t="shared" si="91"/>
        <v>2228.8062963921584</v>
      </c>
      <c r="K119" s="1511">
        <f t="shared" si="73"/>
        <v>11741.477757143535</v>
      </c>
      <c r="L119" s="1504">
        <f t="shared" si="90"/>
        <v>0.7</v>
      </c>
      <c r="M119" s="1504">
        <f t="shared" si="87"/>
        <v>0.6</v>
      </c>
      <c r="N119" s="1504">
        <f t="shared" si="87"/>
        <v>0.9</v>
      </c>
      <c r="O119" s="1504">
        <f t="shared" si="87"/>
        <v>0.9</v>
      </c>
      <c r="P119" s="1504">
        <f t="shared" si="87"/>
        <v>0.23600000000000002</v>
      </c>
      <c r="Q119" s="1508">
        <f t="shared" si="31"/>
        <v>321.88316066552784</v>
      </c>
      <c r="R119" s="1509">
        <f t="shared" si="32"/>
        <v>224.62007381215983</v>
      </c>
      <c r="S119" s="1509">
        <f t="shared" si="33"/>
        <v>657.78059777289673</v>
      </c>
      <c r="T119" s="1509">
        <f t="shared" si="34"/>
        <v>442.90827717210823</v>
      </c>
      <c r="U119" s="1511">
        <f t="shared" si="35"/>
        <v>0</v>
      </c>
      <c r="V119" s="1509">
        <f t="shared" si="9"/>
        <v>1647.1921094226927</v>
      </c>
      <c r="W119" s="1454">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72.821773820790554</v>
      </c>
      <c r="BW119" s="114">
        <f t="shared" si="59"/>
        <v>0.78142872480578029</v>
      </c>
      <c r="BX119" s="1686">
        <f t="shared" si="25"/>
        <v>11.894410388966124</v>
      </c>
      <c r="BY119" s="527">
        <f t="shared" si="60"/>
        <v>72.821773820790554</v>
      </c>
      <c r="BZ119" s="417">
        <f t="shared" si="61"/>
        <v>0.78142872480578029</v>
      </c>
      <c r="CA119" s="544">
        <f t="shared" si="26"/>
        <v>11.894410388966124</v>
      </c>
      <c r="CB119" s="649">
        <f t="shared" si="27"/>
        <v>0.35366058307858594</v>
      </c>
      <c r="CC119" s="525">
        <f t="shared" si="62"/>
        <v>0.42044808956748159</v>
      </c>
      <c r="CD119" s="417">
        <f t="shared" si="28"/>
        <v>0.35366058307858594</v>
      </c>
      <c r="CE119" s="525">
        <f t="shared" si="63"/>
        <v>0.42044808956748159</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1">
        <f>'Input data'!B140</f>
        <v>71.375305999999995</v>
      </c>
      <c r="C120" s="1550">
        <f>'Input data'!C140</f>
        <v>6840.2471934556306</v>
      </c>
      <c r="D120" s="1550">
        <f>'Input data'!D140</f>
        <v>8950966.9774414804</v>
      </c>
      <c r="E120" s="1454">
        <f t="shared" si="88"/>
        <v>1</v>
      </c>
      <c r="F120" s="1504">
        <f t="shared" si="89"/>
        <v>0.36725000000000002</v>
      </c>
      <c r="G120" s="1511">
        <f>B120*F120*'Input data'!$C$9</f>
        <v>802.29084132839955</v>
      </c>
      <c r="H120" s="1542">
        <f>'Input data'!I140</f>
        <v>424.26313389388866</v>
      </c>
      <c r="I120" s="1509">
        <f>'Input data'!K140</f>
        <v>30281.911006195274</v>
      </c>
      <c r="J120" s="1509">
        <f t="shared" si="91"/>
        <v>2228.8062963921584</v>
      </c>
      <c r="K120" s="1511">
        <f t="shared" si="73"/>
        <v>11843.756392220233</v>
      </c>
      <c r="L120" s="1504">
        <f t="shared" si="90"/>
        <v>0.7</v>
      </c>
      <c r="M120" s="1504">
        <f t="shared" si="87"/>
        <v>0.6</v>
      </c>
      <c r="N120" s="1504">
        <f t="shared" si="87"/>
        <v>0.9</v>
      </c>
      <c r="O120" s="1504">
        <f t="shared" si="87"/>
        <v>0.9</v>
      </c>
      <c r="P120" s="1504">
        <f t="shared" si="87"/>
        <v>0.23600000000000002</v>
      </c>
      <c r="Q120" s="1508">
        <f t="shared" si="31"/>
        <v>324.23971764038129</v>
      </c>
      <c r="R120" s="1509">
        <f t="shared" si="32"/>
        <v>226.26455251225605</v>
      </c>
      <c r="S120" s="1509">
        <f t="shared" si="33"/>
        <v>662.59631243283684</v>
      </c>
      <c r="T120" s="1509">
        <f t="shared" si="34"/>
        <v>446.15087795815862</v>
      </c>
      <c r="U120" s="1511">
        <f t="shared" si="35"/>
        <v>0</v>
      </c>
      <c r="V120" s="1509">
        <f t="shared" si="9"/>
        <v>1659.2514605436327</v>
      </c>
      <c r="W120" s="1454">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72.59438326106077</v>
      </c>
      <c r="BW120" s="114">
        <f t="shared" si="59"/>
        <v>0.78074408444691767</v>
      </c>
      <c r="BX120" s="1686">
        <f t="shared" si="25"/>
        <v>8.95096697744148</v>
      </c>
      <c r="BY120" s="527">
        <f t="shared" si="60"/>
        <v>72.59438326106077</v>
      </c>
      <c r="BZ120" s="417">
        <f t="shared" si="61"/>
        <v>0.78074408444691767</v>
      </c>
      <c r="CA120" s="544">
        <f t="shared" si="26"/>
        <v>8.95096697744148</v>
      </c>
      <c r="CB120" s="649">
        <f t="shared" si="27"/>
        <v>0.3560361583119136</v>
      </c>
      <c r="CC120" s="525">
        <f t="shared" si="62"/>
        <v>0.41812510147014614</v>
      </c>
      <c r="CD120" s="417">
        <f t="shared" si="28"/>
        <v>0.3560361583119136</v>
      </c>
      <c r="CE120" s="525">
        <f t="shared" si="63"/>
        <v>0.41812510147014614</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1">
        <f>'Input data'!B141</f>
        <v>71.818612994947316</v>
      </c>
      <c r="C121" s="1550">
        <f>'Input data'!C141</f>
        <v>7028.9784058300729</v>
      </c>
      <c r="D121" s="1550">
        <f>'Input data'!D141</f>
        <v>7408427.529416549</v>
      </c>
      <c r="E121" s="1454">
        <f t="shared" si="88"/>
        <v>1</v>
      </c>
      <c r="F121" s="1504">
        <f t="shared" si="89"/>
        <v>0.36725000000000002</v>
      </c>
      <c r="G121" s="1511">
        <f>B121*F121*'Input data'!$C$9</f>
        <v>807.27381319745268</v>
      </c>
      <c r="H121" s="1542">
        <f>'Input data'!I141</f>
        <v>424.26313389388866</v>
      </c>
      <c r="I121" s="1509">
        <f>'Input data'!K141</f>
        <v>30469.989821148705</v>
      </c>
      <c r="J121" s="1509">
        <f t="shared" si="91"/>
        <v>2228.8062963921584</v>
      </c>
      <c r="K121" s="1511">
        <f t="shared" si="73"/>
        <v>11931.16008722781</v>
      </c>
      <c r="L121" s="1504">
        <f t="shared" si="90"/>
        <v>0.7</v>
      </c>
      <c r="M121" s="1504">
        <f t="shared" si="87"/>
        <v>0.6</v>
      </c>
      <c r="N121" s="1504">
        <f t="shared" si="87"/>
        <v>0.9</v>
      </c>
      <c r="O121" s="1504">
        <f t="shared" si="87"/>
        <v>0.9</v>
      </c>
      <c r="P121" s="1504">
        <f t="shared" si="87"/>
        <v>0.23600000000000002</v>
      </c>
      <c r="Q121" s="1508">
        <f t="shared" si="31"/>
        <v>326.25354767383487</v>
      </c>
      <c r="R121" s="1509">
        <f t="shared" si="32"/>
        <v>227.6698657005079</v>
      </c>
      <c r="S121" s="1509">
        <f t="shared" si="33"/>
        <v>666.71165142876089</v>
      </c>
      <c r="T121" s="1509">
        <f t="shared" si="34"/>
        <v>448.92188961589818</v>
      </c>
      <c r="U121" s="1511">
        <f t="shared" si="35"/>
        <v>0</v>
      </c>
      <c r="V121" s="1509">
        <f t="shared" si="9"/>
        <v>1669.5569544190018</v>
      </c>
      <c r="W121" s="1454">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73.005214793773106</v>
      </c>
      <c r="BW121" s="114">
        <f t="shared" si="59"/>
        <v>0.78197793115358616</v>
      </c>
      <c r="BX121" s="1686">
        <f t="shared" si="25"/>
        <v>7.4084275294165494</v>
      </c>
      <c r="BY121" s="527">
        <f t="shared" si="60"/>
        <v>73.005214793773106</v>
      </c>
      <c r="BZ121" s="417">
        <f t="shared" si="61"/>
        <v>0.78197793115358616</v>
      </c>
      <c r="CA121" s="544">
        <f t="shared" si="26"/>
        <v>7.4084275294165494</v>
      </c>
      <c r="CB121" s="649">
        <f t="shared" si="27"/>
        <v>0.35803801704304605</v>
      </c>
      <c r="CC121" s="525">
        <f t="shared" si="62"/>
        <v>0.41891823152976793</v>
      </c>
      <c r="CD121" s="417">
        <f t="shared" si="28"/>
        <v>0.35803801704304605</v>
      </c>
      <c r="CE121" s="525">
        <f t="shared" si="63"/>
        <v>0.41891823152976793</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1">
        <f>'Input data'!B142</f>
        <v>72.264673338395411</v>
      </c>
      <c r="C122" s="1550">
        <f>'Input data'!C142</f>
        <v>7212.2527913428794</v>
      </c>
      <c r="D122" s="1550">
        <f>'Input data'!D142</f>
        <v>5865888.0813916186</v>
      </c>
      <c r="E122" s="1454">
        <f t="shared" si="88"/>
        <v>1</v>
      </c>
      <c r="F122" s="1504">
        <f t="shared" si="89"/>
        <v>0.36725000000000002</v>
      </c>
      <c r="G122" s="1511">
        <f>B122*F122*'Input data'!$C$9</f>
        <v>812.28773395357814</v>
      </c>
      <c r="H122" s="1542">
        <f>'Input data'!I142</f>
        <v>424.26313389388866</v>
      </c>
      <c r="I122" s="1509">
        <f>'Input data'!K142</f>
        <v>30659.23678036578</v>
      </c>
      <c r="J122" s="1509">
        <f t="shared" si="91"/>
        <v>2228.8062963921584</v>
      </c>
      <c r="K122" s="1511">
        <f t="shared" si="73"/>
        <v>12019.106640424758</v>
      </c>
      <c r="L122" s="1504">
        <f t="shared" si="90"/>
        <v>0.7</v>
      </c>
      <c r="M122" s="1504">
        <f t="shared" si="87"/>
        <v>0.6</v>
      </c>
      <c r="N122" s="1504">
        <f t="shared" si="87"/>
        <v>0.9</v>
      </c>
      <c r="O122" s="1504">
        <f t="shared" si="87"/>
        <v>0.9</v>
      </c>
      <c r="P122" s="1504">
        <f t="shared" si="87"/>
        <v>0.23600000000000002</v>
      </c>
      <c r="Q122" s="1508">
        <f t="shared" si="31"/>
        <v>328.27988546368874</v>
      </c>
      <c r="R122" s="1509">
        <f t="shared" si="32"/>
        <v>229.08390718992371</v>
      </c>
      <c r="S122" s="1509">
        <f t="shared" si="33"/>
        <v>670.85255050513388</v>
      </c>
      <c r="T122" s="1509">
        <f t="shared" si="34"/>
        <v>451.7101118317396</v>
      </c>
      <c r="U122" s="1511">
        <f t="shared" si="35"/>
        <v>0</v>
      </c>
      <c r="V122" s="1509">
        <f t="shared" si="9"/>
        <v>1679.926454990486</v>
      </c>
      <c r="W122" s="1454">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73.38846801673013</v>
      </c>
      <c r="BW122" s="114">
        <f t="shared" si="59"/>
        <v>0.78311649778154868</v>
      </c>
      <c r="BX122" s="1686">
        <f t="shared" si="25"/>
        <v>5.8658880813916188</v>
      </c>
      <c r="BY122" s="527">
        <f t="shared" si="60"/>
        <v>73.38846801673013</v>
      </c>
      <c r="BZ122" s="417">
        <f t="shared" si="61"/>
        <v>0.78311649778154868</v>
      </c>
      <c r="CA122" s="544">
        <f t="shared" si="26"/>
        <v>5.8658880813916188</v>
      </c>
      <c r="CB122" s="649">
        <f t="shared" si="27"/>
        <v>0.36002659202487586</v>
      </c>
      <c r="CC122" s="525">
        <f t="shared" si="62"/>
        <v>0.41958968710050459</v>
      </c>
      <c r="CD122" s="417">
        <f t="shared" si="28"/>
        <v>0.36002659202487586</v>
      </c>
      <c r="CE122" s="525">
        <f t="shared" si="63"/>
        <v>0.41958968710050459</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1">
        <f>'Input data'!B143</f>
        <v>72.713504131197794</v>
      </c>
      <c r="C123" s="1550">
        <f>'Input data'!C143</f>
        <v>7399.5467373897327</v>
      </c>
      <c r="D123" s="1550">
        <f>'Input data'!D143</f>
        <v>4323348.6333666872</v>
      </c>
      <c r="E123" s="1454">
        <f t="shared" si="88"/>
        <v>1</v>
      </c>
      <c r="F123" s="1504">
        <f t="shared" si="89"/>
        <v>0.36725000000000002</v>
      </c>
      <c r="G123" s="1511">
        <f>B123*F123*'Input data'!$C$9</f>
        <v>817.33279581813269</v>
      </c>
      <c r="H123" s="1542">
        <f>'Input data'!I143</f>
        <v>424.26313389388866</v>
      </c>
      <c r="I123" s="1509">
        <f>'Input data'!K143</f>
        <v>30849.659139108197</v>
      </c>
      <c r="J123" s="1509">
        <f t="shared" si="91"/>
        <v>2228.8062963921584</v>
      </c>
      <c r="K123" s="1511">
        <f t="shared" si="73"/>
        <v>12107.59942346503</v>
      </c>
      <c r="L123" s="1504">
        <f t="shared" si="90"/>
        <v>0.7</v>
      </c>
      <c r="M123" s="1504">
        <f t="shared" si="87"/>
        <v>0.6</v>
      </c>
      <c r="N123" s="1504">
        <f t="shared" si="87"/>
        <v>0.9</v>
      </c>
      <c r="O123" s="1504">
        <f t="shared" si="87"/>
        <v>0.9</v>
      </c>
      <c r="P123" s="1504">
        <f t="shared" si="87"/>
        <v>0.23600000000000002</v>
      </c>
      <c r="Q123" s="1508">
        <f t="shared" si="31"/>
        <v>330.31880869473662</v>
      </c>
      <c r="R123" s="1509">
        <f t="shared" si="32"/>
        <v>230.50673119136695</v>
      </c>
      <c r="S123" s="1509">
        <f t="shared" si="33"/>
        <v>675.01916841381444</v>
      </c>
      <c r="T123" s="1509">
        <f t="shared" si="34"/>
        <v>454.51565149924636</v>
      </c>
      <c r="U123" s="1511">
        <f t="shared" si="35"/>
        <v>0</v>
      </c>
      <c r="V123" s="1509">
        <f t="shared" si="9"/>
        <v>1690.3603597991644</v>
      </c>
      <c r="W123" s="1454">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73.792735695201429</v>
      </c>
      <c r="BW123" s="114">
        <f t="shared" si="59"/>
        <v>0.78430467693108896</v>
      </c>
      <c r="BX123" s="1686">
        <f t="shared" si="25"/>
        <v>4.3233486333666873</v>
      </c>
      <c r="BY123" s="527">
        <f t="shared" si="60"/>
        <v>73.792735695201429</v>
      </c>
      <c r="BZ123" s="417">
        <f t="shared" si="61"/>
        <v>0.78430467693108896</v>
      </c>
      <c r="CA123" s="544">
        <f t="shared" si="26"/>
        <v>4.3233486333666873</v>
      </c>
      <c r="CB123" s="649">
        <f t="shared" si="27"/>
        <v>0.36200198208013235</v>
      </c>
      <c r="CC123" s="525">
        <f t="shared" si="62"/>
        <v>0.42033115844777702</v>
      </c>
      <c r="CD123" s="417">
        <f t="shared" si="28"/>
        <v>0.36200198208013235</v>
      </c>
      <c r="CE123" s="525">
        <f t="shared" si="63"/>
        <v>0.42033115844777702</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1">
        <f>'Input data'!B144</f>
        <v>73.165122580420132</v>
      </c>
      <c r="C124" s="1550">
        <f>'Input data'!C144</f>
        <v>7593.410855692503</v>
      </c>
      <c r="D124" s="1550">
        <f>'Input data'!D144</f>
        <v>2780809.1853417563</v>
      </c>
      <c r="E124" s="1454">
        <f t="shared" si="88"/>
        <v>1</v>
      </c>
      <c r="F124" s="1504">
        <f t="shared" si="89"/>
        <v>0.36725000000000002</v>
      </c>
      <c r="G124" s="1511">
        <f>B124*F124*'Input data'!$C$9</f>
        <v>822.40919220634601</v>
      </c>
      <c r="H124" s="1542">
        <f>'Input data'!I144</f>
        <v>424.26313389388866</v>
      </c>
      <c r="I124" s="1509">
        <f>'Input data'!K144</f>
        <v>31041.264197699562</v>
      </c>
      <c r="J124" s="1509">
        <f t="shared" si="91"/>
        <v>2228.8062963921584</v>
      </c>
      <c r="K124" s="1511">
        <f t="shared" si="73"/>
        <v>12196.641828943688</v>
      </c>
      <c r="L124" s="1504">
        <f t="shared" si="90"/>
        <v>0.7</v>
      </c>
      <c r="M124" s="1504">
        <f t="shared" si="87"/>
        <v>0.6</v>
      </c>
      <c r="N124" s="1504">
        <f t="shared" si="87"/>
        <v>0.9</v>
      </c>
      <c r="O124" s="1504">
        <f t="shared" si="87"/>
        <v>0.9</v>
      </c>
      <c r="P124" s="1504">
        <f t="shared" si="87"/>
        <v>0.23600000000000002</v>
      </c>
      <c r="Q124" s="1508">
        <f t="shared" si="31"/>
        <v>332.37039553426666</v>
      </c>
      <c r="R124" s="1509">
        <f t="shared" si="32"/>
        <v>231.93839225240072</v>
      </c>
      <c r="S124" s="1509">
        <f t="shared" si="33"/>
        <v>679.21166489265761</v>
      </c>
      <c r="T124" s="1509">
        <f t="shared" si="34"/>
        <v>457.33861617588991</v>
      </c>
      <c r="U124" s="1511">
        <f t="shared" si="35"/>
        <v>0</v>
      </c>
      <c r="V124" s="1509">
        <f t="shared" si="9"/>
        <v>1700.8590688552149</v>
      </c>
      <c r="W124" s="1454">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74.231098380025031</v>
      </c>
      <c r="BW124" s="114">
        <f t="shared" si="59"/>
        <v>0.78557843931623272</v>
      </c>
      <c r="BX124" s="1686">
        <f t="shared" si="25"/>
        <v>2.7808091853417563</v>
      </c>
      <c r="BY124" s="527">
        <f t="shared" si="60"/>
        <v>74.231098380025031</v>
      </c>
      <c r="BZ124" s="417">
        <f t="shared" si="61"/>
        <v>0.78557843931623272</v>
      </c>
      <c r="CA124" s="544">
        <f t="shared" si="26"/>
        <v>2.7808091853417563</v>
      </c>
      <c r="CB124" s="649">
        <f t="shared" si="27"/>
        <v>0.36396428507300427</v>
      </c>
      <c r="CC124" s="525">
        <f t="shared" si="62"/>
        <v>0.42118968176281724</v>
      </c>
      <c r="CD124" s="417">
        <f t="shared" si="28"/>
        <v>0.36396428507300427</v>
      </c>
      <c r="CE124" s="525">
        <f t="shared" si="63"/>
        <v>0.42118968176281724</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1">
        <f>'Input data'!B145</f>
        <v>73.619545999999971</v>
      </c>
      <c r="C125" s="1550">
        <f>'Input data'!C145</f>
        <v>7794.8943128616638</v>
      </c>
      <c r="D125" s="1550">
        <f>'Input data'!D145</f>
        <v>1238269.7373168254</v>
      </c>
      <c r="E125" s="1454">
        <f t="shared" si="88"/>
        <v>1</v>
      </c>
      <c r="F125" s="1504">
        <f t="shared" si="89"/>
        <v>0.36725000000000002</v>
      </c>
      <c r="G125" s="1511">
        <f>B125*F125*'Input data'!$C$9</f>
        <v>827.51711773473585</v>
      </c>
      <c r="H125" s="1542">
        <f>'Input data'!I145</f>
        <v>424.26313389388866</v>
      </c>
      <c r="I125" s="1509">
        <f>'Input data'!K145</f>
        <v>31234.059301805282</v>
      </c>
      <c r="J125" s="1509">
        <f t="shared" si="91"/>
        <v>2228.8062963921584</v>
      </c>
      <c r="K125" s="1511">
        <f t="shared" si="73"/>
        <v>12286.237270526955</v>
      </c>
      <c r="L125" s="1504">
        <f t="shared" si="90"/>
        <v>0.7</v>
      </c>
      <c r="M125" s="1504">
        <f t="shared" si="87"/>
        <v>0.6</v>
      </c>
      <c r="N125" s="1504">
        <f t="shared" si="87"/>
        <v>0.9</v>
      </c>
      <c r="O125" s="1504">
        <f t="shared" si="87"/>
        <v>0.9</v>
      </c>
      <c r="P125" s="1504">
        <f t="shared" si="87"/>
        <v>0.23600000000000002</v>
      </c>
      <c r="Q125" s="1508">
        <f t="shared" si="31"/>
        <v>334.43472463505896</v>
      </c>
      <c r="R125" s="1509">
        <f t="shared" si="32"/>
        <v>233.37894525937941</v>
      </c>
      <c r="S125" s="1509">
        <f t="shared" si="33"/>
        <v>683.43020067163889</v>
      </c>
      <c r="T125" s="1509">
        <f t="shared" si="34"/>
        <v>460.17911408717418</v>
      </c>
      <c r="U125" s="1511">
        <f t="shared" si="35"/>
        <v>0</v>
      </c>
      <c r="V125" s="1509">
        <f t="shared" si="9"/>
        <v>1711.4229846532514</v>
      </c>
      <c r="W125" s="1454">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74.708937912027238</v>
      </c>
      <c r="BW125" s="114">
        <f t="shared" si="59"/>
        <v>0.78694988296235924</v>
      </c>
      <c r="BX125" s="1686">
        <f t="shared" si="25"/>
        <v>1.2382697373168254</v>
      </c>
      <c r="BY125" s="527">
        <f t="shared" si="60"/>
        <v>74.708937912027238</v>
      </c>
      <c r="BZ125" s="417">
        <f t="shared" si="61"/>
        <v>0.78694988296235924</v>
      </c>
      <c r="CA125" s="544">
        <f t="shared" si="26"/>
        <v>1.2382697373168254</v>
      </c>
      <c r="CB125" s="649">
        <f t="shared" si="27"/>
        <v>0.36591359792336786</v>
      </c>
      <c r="CC125" s="525">
        <f t="shared" si="62"/>
        <v>0.42218033994103987</v>
      </c>
      <c r="CD125" s="417">
        <f t="shared" si="28"/>
        <v>0.36591359792336786</v>
      </c>
      <c r="CE125" s="525">
        <f t="shared" si="63"/>
        <v>0.42218033994103987</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1">
        <f>'Input data'!B146</f>
        <v>73.995362001779526</v>
      </c>
      <c r="C126" s="1550">
        <f>'Input data'!C146</f>
        <v>8018.9246673642956</v>
      </c>
      <c r="D126" s="1550">
        <f>'Input data'!D146</f>
        <v>1037510.1997812246</v>
      </c>
      <c r="E126" s="1454">
        <f t="shared" si="88"/>
        <v>1</v>
      </c>
      <c r="F126" s="1504">
        <f t="shared" si="89"/>
        <v>0.36725000000000002</v>
      </c>
      <c r="G126" s="1511">
        <f>B126*F126*'Input data'!$C$9</f>
        <v>831.74146020203671</v>
      </c>
      <c r="H126" s="1542">
        <f>'Input data'!I146</f>
        <v>424.26313389388866</v>
      </c>
      <c r="I126" s="1509">
        <f>'Input data'!K146</f>
        <v>31393.50417648775</v>
      </c>
      <c r="J126" s="1509">
        <f t="shared" si="91"/>
        <v>2228.8062963921584</v>
      </c>
      <c r="K126" s="1511">
        <f t="shared" si="73"/>
        <v>12360.334245248529</v>
      </c>
      <c r="L126" s="1504">
        <f t="shared" si="90"/>
        <v>0.7</v>
      </c>
      <c r="M126" s="1504">
        <f t="shared" si="87"/>
        <v>0.6</v>
      </c>
      <c r="N126" s="1504">
        <f t="shared" si="87"/>
        <v>0.9</v>
      </c>
      <c r="O126" s="1504">
        <f t="shared" si="87"/>
        <v>0.9</v>
      </c>
      <c r="P126" s="1504">
        <f t="shared" si="87"/>
        <v>0.23600000000000002</v>
      </c>
      <c r="Q126" s="1508">
        <f t="shared" si="31"/>
        <v>336.14196038830005</v>
      </c>
      <c r="R126" s="1509">
        <f t="shared" si="32"/>
        <v>234.57030742978588</v>
      </c>
      <c r="S126" s="1509">
        <f t="shared" si="33"/>
        <v>686.91900248402408</v>
      </c>
      <c r="T126" s="1509">
        <f t="shared" si="34"/>
        <v>462.52825482703656</v>
      </c>
      <c r="U126" s="1511">
        <f t="shared" si="35"/>
        <v>0</v>
      </c>
      <c r="V126" s="1509">
        <f t="shared" si="9"/>
        <v>1720.1595251291465</v>
      </c>
      <c r="W126" s="1454">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75.828440074505437</v>
      </c>
      <c r="BW126" s="114">
        <f t="shared" si="59"/>
        <v>0.79009527361665099</v>
      </c>
      <c r="BX126" s="1686">
        <f t="shared" si="25"/>
        <v>1.0375101997812246</v>
      </c>
      <c r="BY126" s="527">
        <f t="shared" si="60"/>
        <v>75.828440074505437</v>
      </c>
      <c r="BZ126" s="417">
        <f t="shared" si="61"/>
        <v>0.79009527361665099</v>
      </c>
      <c r="CA126" s="544">
        <f t="shared" si="26"/>
        <v>1.0375101997812246</v>
      </c>
      <c r="CB126" s="649">
        <f t="shared" si="27"/>
        <v>0.36750697834425616</v>
      </c>
      <c r="CC126" s="525">
        <f t="shared" si="62"/>
        <v>0.42600528096215839</v>
      </c>
      <c r="CD126" s="417">
        <f t="shared" si="28"/>
        <v>0.36750697834425616</v>
      </c>
      <c r="CE126" s="525">
        <f t="shared" si="63"/>
        <v>0.42600528096215839</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1">
        <f>'Input data'!B147</f>
        <v>74.373096484110363</v>
      </c>
      <c r="C127" s="1550">
        <f>'Input data'!C147</f>
        <v>8179.7504647675678</v>
      </c>
      <c r="D127" s="1550">
        <f>'Input data'!D147</f>
        <v>836750.66224562365</v>
      </c>
      <c r="E127" s="1454">
        <f t="shared" si="88"/>
        <v>1</v>
      </c>
      <c r="F127" s="1504">
        <f t="shared" si="89"/>
        <v>0.36725000000000002</v>
      </c>
      <c r="G127" s="1511">
        <f>B127*F127*'Input data'!$C$9</f>
        <v>835.98736726165691</v>
      </c>
      <c r="H127" s="1542">
        <f>'Input data'!I147</f>
        <v>424.26313389388866</v>
      </c>
      <c r="I127" s="1509">
        <f>'Input data'!K147</f>
        <v>31553.762991741216</v>
      </c>
      <c r="J127" s="1509">
        <f t="shared" si="91"/>
        <v>2228.8062963921584</v>
      </c>
      <c r="K127" s="1511">
        <f t="shared" si="73"/>
        <v>12434.809473169109</v>
      </c>
      <c r="L127" s="1504">
        <f t="shared" si="90"/>
        <v>0.7</v>
      </c>
      <c r="M127" s="1504">
        <f t="shared" si="90"/>
        <v>0.6</v>
      </c>
      <c r="N127" s="1504">
        <f t="shared" si="90"/>
        <v>0.9</v>
      </c>
      <c r="O127" s="1504">
        <f t="shared" si="90"/>
        <v>0.9</v>
      </c>
      <c r="P127" s="1504">
        <f t="shared" si="90"/>
        <v>0.23600000000000002</v>
      </c>
      <c r="Q127" s="1508">
        <f t="shared" si="31"/>
        <v>337.8579113068713</v>
      </c>
      <c r="R127" s="1509">
        <f t="shared" si="32"/>
        <v>235.76775131343163</v>
      </c>
      <c r="S127" s="1509">
        <f t="shared" si="33"/>
        <v>690.42561407138692</v>
      </c>
      <c r="T127" s="1509">
        <f t="shared" si="34"/>
        <v>464.88938755446634</v>
      </c>
      <c r="U127" s="1511">
        <f t="shared" si="35"/>
        <v>0</v>
      </c>
      <c r="V127" s="1509">
        <f t="shared" si="9"/>
        <v>1728.9406642461563</v>
      </c>
      <c r="W127" s="1454">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76.624136847889133</v>
      </c>
      <c r="BW127" s="114">
        <f t="shared" si="59"/>
        <v>0.79227501123422173</v>
      </c>
      <c r="BX127" s="1686">
        <f t="shared" si="25"/>
        <v>0.83675066224562367</v>
      </c>
      <c r="BY127" s="527">
        <f t="shared" si="60"/>
        <v>76.624136847889133</v>
      </c>
      <c r="BZ127" s="417">
        <f t="shared" si="61"/>
        <v>0.79227501123422173</v>
      </c>
      <c r="CA127" s="544">
        <f t="shared" si="26"/>
        <v>0.83675066224562367</v>
      </c>
      <c r="CB127" s="649">
        <f t="shared" si="27"/>
        <v>0.36909169159072286</v>
      </c>
      <c r="CC127" s="525">
        <f t="shared" si="62"/>
        <v>0.42853482113932728</v>
      </c>
      <c r="CD127" s="417">
        <f t="shared" si="28"/>
        <v>0.36909169159072286</v>
      </c>
      <c r="CE127" s="525">
        <f t="shared" si="63"/>
        <v>0.42853482113932728</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8346.3110427603078</v>
      </c>
      <c r="D128" s="236">
        <f>'Input data'!D148</f>
        <v>635991.12471002259</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77.449519103663917</v>
      </c>
      <c r="BW128" s="114">
        <f t="shared" si="59"/>
        <v>0.79448874376339074</v>
      </c>
      <c r="BX128" s="1686">
        <f t="shared" si="25"/>
        <v>0.63599112471002262</v>
      </c>
      <c r="BY128" s="527">
        <f t="shared" si="60"/>
        <v>77.449519103663917</v>
      </c>
      <c r="BZ128" s="417">
        <f t="shared" si="61"/>
        <v>0.79448874376339074</v>
      </c>
      <c r="CA128" s="544">
        <f t="shared" si="26"/>
        <v>0.63599112471002262</v>
      </c>
      <c r="CB128" s="649">
        <f t="shared" si="27"/>
        <v>0.3706677901680655</v>
      </c>
      <c r="CC128" s="525">
        <f t="shared" si="62"/>
        <v>0.43107500374239638</v>
      </c>
      <c r="CD128" s="417">
        <f t="shared" si="28"/>
        <v>0.3706677901680655</v>
      </c>
      <c r="CE128" s="525">
        <f t="shared" si="63"/>
        <v>0.43107500374239638</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8507.9647859669603</v>
      </c>
      <c r="D129" s="236">
        <f>'Input data'!D149</f>
        <v>435231.58717442153</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78.250022725329288</v>
      </c>
      <c r="BW129" s="114">
        <f t="shared" si="59"/>
        <v>0.79659113938170112</v>
      </c>
      <c r="BX129" s="1686">
        <f t="shared" si="25"/>
        <v>0.43523158717442151</v>
      </c>
      <c r="BY129" s="527">
        <f t="shared" si="60"/>
        <v>78.250022725329288</v>
      </c>
      <c r="BZ129" s="417">
        <f t="shared" si="61"/>
        <v>0.79659113938170112</v>
      </c>
      <c r="CA129" s="544">
        <f t="shared" si="26"/>
        <v>0.43523158717442151</v>
      </c>
      <c r="CB129" s="649">
        <f t="shared" si="27"/>
        <v>0.37223532617222466</v>
      </c>
      <c r="CC129" s="525">
        <f t="shared" si="62"/>
        <v>0.43344555989420908</v>
      </c>
      <c r="CD129" s="417">
        <f t="shared" si="28"/>
        <v>0.37223532617222466</v>
      </c>
      <c r="CE129" s="525">
        <f t="shared" si="63"/>
        <v>0.43344555989420908</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8670.5902188603068</v>
      </c>
      <c r="D130" s="239">
        <f>'Input data'!D150</f>
        <v>234472.04963882058</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4">
        <f t="shared" si="14"/>
        <v>493.47361379422671</v>
      </c>
      <c r="AS130" s="1475">
        <f t="shared" si="15"/>
        <v>625.85804497173024</v>
      </c>
      <c r="AT130" s="1475">
        <f t="shared" si="16"/>
        <v>118.14226305492249</v>
      </c>
      <c r="AU130" s="1475">
        <f t="shared" si="17"/>
        <v>0</v>
      </c>
      <c r="AV130" s="1475">
        <f t="shared" si="18"/>
        <v>0</v>
      </c>
      <c r="AW130" s="1475">
        <f t="shared" si="19"/>
        <v>0</v>
      </c>
      <c r="AX130" s="1475">
        <f t="shared" si="20"/>
        <v>825.06613595655131</v>
      </c>
      <c r="AY130" s="1475">
        <f t="shared" si="21"/>
        <v>66.458631392678186</v>
      </c>
      <c r="AZ130" s="1475">
        <f t="shared" si="22"/>
        <v>18.681538744964712</v>
      </c>
      <c r="BA130" s="1475">
        <f t="shared" si="23"/>
        <v>48.250775685348998</v>
      </c>
      <c r="BB130" s="1475">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79.055791381835505</v>
      </c>
      <c r="BW130" s="651">
        <f t="shared" si="59"/>
        <v>0.7986643649035382</v>
      </c>
      <c r="BX130" s="1687">
        <f t="shared" si="25"/>
        <v>0.23447204963882057</v>
      </c>
      <c r="BY130" s="670">
        <f t="shared" si="60"/>
        <v>79.055791381835505</v>
      </c>
      <c r="BZ130" s="651">
        <f t="shared" si="61"/>
        <v>0.7986643649035382</v>
      </c>
      <c r="CA130" s="675">
        <f t="shared" si="26"/>
        <v>0.23447204963882057</v>
      </c>
      <c r="CB130" s="650">
        <f t="shared" si="27"/>
        <v>0.37379435129462157</v>
      </c>
      <c r="CC130" s="652">
        <f t="shared" si="62"/>
        <v>0.43575245492632042</v>
      </c>
      <c r="CD130" s="651">
        <f t="shared" si="28"/>
        <v>0.37379435129462157</v>
      </c>
      <c r="CE130" s="652">
        <f t="shared" si="63"/>
        <v>0.43575245492632042</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757</v>
      </c>
      <c r="N134" s="1808" t="s">
        <v>607</v>
      </c>
      <c r="O134" s="1897"/>
      <c r="P134" s="1895" t="s">
        <v>594</v>
      </c>
      <c r="Q134" s="1814" t="s">
        <v>765</v>
      </c>
      <c r="R134" s="1814" t="s">
        <v>768</v>
      </c>
      <c r="S134" s="1814" t="s">
        <v>767</v>
      </c>
      <c r="T134" s="1838" t="s">
        <v>769</v>
      </c>
      <c r="U134" s="1836" t="s">
        <v>770</v>
      </c>
      <c r="V134" s="1812" t="s">
        <v>760</v>
      </c>
      <c r="W134" s="1834" t="s">
        <v>761</v>
      </c>
      <c r="X134" s="1844" t="s">
        <v>592</v>
      </c>
      <c r="Y134" s="1845"/>
      <c r="Z134" s="1845"/>
      <c r="AA134" s="1845"/>
      <c r="AB134" s="1845"/>
      <c r="AC134" s="1845"/>
      <c r="AD134" s="1845"/>
      <c r="AE134" s="1846"/>
      <c r="AF134" s="1846"/>
      <c r="AG134" s="1846"/>
      <c r="AH134" s="1846"/>
      <c r="AI134" s="1846"/>
      <c r="AJ134" s="1847"/>
      <c r="AK134" s="1910" t="s">
        <v>728</v>
      </c>
      <c r="AL134" s="1911"/>
      <c r="AM134" s="1911"/>
      <c r="AN134" s="1911"/>
      <c r="AO134" s="1912"/>
    </row>
    <row r="135" spans="1:91" ht="51.6" customHeight="1">
      <c r="A135" s="1862" t="s">
        <v>217</v>
      </c>
      <c r="B135" s="703" t="s">
        <v>218</v>
      </c>
      <c r="C135" s="703" t="s">
        <v>390</v>
      </c>
      <c r="D135" s="513" t="s">
        <v>629</v>
      </c>
      <c r="E135" s="704" t="s">
        <v>779</v>
      </c>
      <c r="F135" s="704" t="s">
        <v>780</v>
      </c>
      <c r="G135" s="704" t="s">
        <v>764</v>
      </c>
      <c r="H135" s="705" t="s">
        <v>597</v>
      </c>
      <c r="I135" s="705" t="s">
        <v>626</v>
      </c>
      <c r="J135" s="1461" t="s">
        <v>326</v>
      </c>
      <c r="K135" s="1461" t="s">
        <v>758</v>
      </c>
      <c r="L135" s="706" t="s">
        <v>759</v>
      </c>
      <c r="M135" s="1826"/>
      <c r="N135" s="508" t="s">
        <v>605</v>
      </c>
      <c r="O135" s="559" t="s">
        <v>606</v>
      </c>
      <c r="P135" s="1896"/>
      <c r="Q135" s="1815"/>
      <c r="R135" s="1815"/>
      <c r="S135" s="1815"/>
      <c r="T135" s="1839"/>
      <c r="U135" s="1837"/>
      <c r="V135" s="1813"/>
      <c r="W135" s="1835"/>
      <c r="X135" s="1464" t="s">
        <v>473</v>
      </c>
      <c r="Y135" s="1465" t="s">
        <v>489</v>
      </c>
      <c r="Z135" s="1636" t="s">
        <v>807</v>
      </c>
      <c r="AA135" s="1465" t="s">
        <v>377</v>
      </c>
      <c r="AB135" s="1465" t="s">
        <v>477</v>
      </c>
      <c r="AC135" s="1465" t="s">
        <v>225</v>
      </c>
      <c r="AD135" s="713" t="s">
        <v>617</v>
      </c>
      <c r="AE135" s="1092" t="s">
        <v>473</v>
      </c>
      <c r="AF135" s="1465" t="s">
        <v>489</v>
      </c>
      <c r="AG135" s="1636" t="s">
        <v>807</v>
      </c>
      <c r="AH135" s="1465" t="s">
        <v>377</v>
      </c>
      <c r="AI135" s="1465" t="s">
        <v>477</v>
      </c>
      <c r="AJ135" s="1466" t="s">
        <v>225</v>
      </c>
      <c r="AK135" s="189" t="s">
        <v>724</v>
      </c>
      <c r="AL135" s="712" t="s">
        <v>493</v>
      </c>
      <c r="AM135" s="712" t="s">
        <v>725</v>
      </c>
      <c r="AN135" s="712" t="s">
        <v>225</v>
      </c>
      <c r="AO135" s="1183" t="s">
        <v>617</v>
      </c>
    </row>
    <row r="136" spans="1:91" ht="30" customHeight="1" thickBot="1">
      <c r="A136" s="1863"/>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7">
        <f>D137/1000</f>
        <v>49995.050999999999</v>
      </c>
      <c r="J137" s="649">
        <f>H17</f>
        <v>6.154773859516615E-2</v>
      </c>
      <c r="K137" s="1501">
        <f>(I137)*J137-(I137)*$J$137</f>
        <v>0</v>
      </c>
      <c r="L137" s="1501">
        <f>(E137)*$C$12*$G$12-(E137)*$C$12*$G$12</f>
        <v>0</v>
      </c>
      <c r="M137" s="1503">
        <f>L137+K137</f>
        <v>0</v>
      </c>
      <c r="N137" s="708">
        <v>0</v>
      </c>
      <c r="O137" s="1467">
        <f>N137*$E$137*($C$85)*$B$12</f>
        <v>0</v>
      </c>
      <c r="P137" s="1480">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5">AC137</f>
        <v>87501.974384615402</v>
      </c>
      <c r="W137" s="1534">
        <f>(1-V137/F137)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row>
    <row r="138" spans="1:91">
      <c r="A138" s="127">
        <f>'Input data'!A118</f>
        <v>2018</v>
      </c>
      <c r="B138" s="662">
        <f>'Input data'!B118</f>
        <v>57.436000617299655</v>
      </c>
      <c r="C138" s="236">
        <f>'Input data'!C118</f>
        <v>3154.0370052724184</v>
      </c>
      <c r="D138" s="237">
        <f>'Input data'!D118</f>
        <v>50359792.847133137</v>
      </c>
      <c r="E138" s="1508">
        <f>'Input data'!J118*C138</f>
        <v>37946.363119089809</v>
      </c>
      <c r="F138" s="1509">
        <f>'Input data'!L118</f>
        <v>88306.155966222956</v>
      </c>
      <c r="G138" s="1509">
        <f>G137*0.94</f>
        <v>64333.325846758482</v>
      </c>
      <c r="H138" s="528">
        <f>E138*$B$12+I138*$E$80-G138</f>
        <v>4700.8289604658348</v>
      </c>
      <c r="I138" s="530">
        <f t="shared" ref="I138:I170" si="96">D138/1000</f>
        <v>50359.79284713314</v>
      </c>
      <c r="J138" s="1454">
        <f>($J$150-$J$137)/($A$150-$A$137)+J137</f>
        <v>8.7582527933999524E-2</v>
      </c>
      <c r="K138" s="1512">
        <f>(I138)*J138-(I138)*$J$137</f>
        <v>1311.106597922399</v>
      </c>
      <c r="L138" s="1512">
        <f t="shared" ref="L138:L170" si="97">(E138)*$C$12*$G$12-(E138)*$C$12*$G$12</f>
        <v>0</v>
      </c>
      <c r="M138" s="1511">
        <f>L138+K138</f>
        <v>1311.106597922399</v>
      </c>
      <c r="N138" s="1454">
        <v>0.05</v>
      </c>
      <c r="O138" s="530">
        <f t="shared" ref="O138:O170" si="98">N138*$E$137*($C$85)*$B$12</f>
        <v>75.191700000000026</v>
      </c>
      <c r="P138" s="1481">
        <f>O138+M138</f>
        <v>1386.2982979223991</v>
      </c>
      <c r="Q138" s="1364">
        <f t="shared" ref="Q138:Q170" si="99">E138*$B$12+(1-$J$137)*I138-P138</f>
        <v>67647.856509301913</v>
      </c>
      <c r="R138" s="1364">
        <f>Q138-G138</f>
        <v>3314.5306625434314</v>
      </c>
      <c r="S138" s="1514">
        <f t="shared" ref="S138:S170" si="100">R138/(Q138-I138*(1-J138))</f>
        <v>0.15275248812947445</v>
      </c>
      <c r="T138" s="135" t="str">
        <f t="shared" ref="T138:T170" si="101">IF(AND(S138&gt;=0,S138&lt;=1),"Yes","No")</f>
        <v>Yes</v>
      </c>
      <c r="U138" s="1514">
        <f t="shared" ref="U138:U170" si="102">IF(S138&lt;=0,0,IF(S138&gt;=1,1,S138))</f>
        <v>0.15275248812947445</v>
      </c>
      <c r="V138" s="1539">
        <f t="shared" si="95"/>
        <v>84991.625303679524</v>
      </c>
      <c r="W138" s="1540">
        <f t="shared" ref="W138:W170" si="103">(1-V138/F138)</f>
        <v>3.7534536819961217E-2</v>
      </c>
      <c r="X138" s="527">
        <f t="shared" ref="X138:X170" si="104">(E138*$B$12-O138-L138)*(1-U138)+I138*(1-J138)</f>
        <v>64333.325846758482</v>
      </c>
      <c r="Y138" s="1509">
        <f t="shared" ref="Y138:Y170" si="105">I138*J138+E138*$G$12*$C$12</f>
        <v>7449.3121878932852</v>
      </c>
      <c r="Z138" s="1509">
        <f t="shared" ref="Z138:Z170" si="106">($C$12*$H$12*E138+O138)</f>
        <v>1789.9687605419947</v>
      </c>
      <c r="AA138" s="1509">
        <f t="shared" ref="AA138:AA170" si="107">$F$137*$D$11</f>
        <v>0</v>
      </c>
      <c r="AB138" s="1509">
        <f t="shared" ref="AB138:AB170" si="108">E138*$E$12</f>
        <v>11419.018508485759</v>
      </c>
      <c r="AC138" s="1509">
        <f t="shared" ref="AC138:AC170" si="109">SUM(X138:AB138)</f>
        <v>84991.625303679524</v>
      </c>
      <c r="AD138" s="1535">
        <f t="shared" ref="AD138:AD170" si="110">X138-G138</f>
        <v>0</v>
      </c>
      <c r="AE138" s="1504">
        <f t="shared" ref="AE138:AE170" si="111">X138/AC138</f>
        <v>0.75693723489687537</v>
      </c>
      <c r="AF138" s="1504">
        <f t="shared" ref="AF138:AF170" si="112">Y138/AC138</f>
        <v>8.7647602469966931E-2</v>
      </c>
      <c r="AG138" s="1504">
        <f t="shared" ref="AG138:AG170" si="113">Z138/AC138</f>
        <v>2.1060531012865594E-2</v>
      </c>
      <c r="AH138" s="1504">
        <f>AA138/AC138</f>
        <v>0</v>
      </c>
      <c r="AI138" s="1504">
        <f t="shared" ref="AI138:AI169" si="114">AB138/AC138</f>
        <v>0.1343546316202921</v>
      </c>
      <c r="AJ138" s="1541">
        <f t="shared" ref="AJ138:AJ170" si="115">SUM(AE138:AI138)</f>
        <v>1</v>
      </c>
      <c r="AK138" s="1555">
        <f t="shared" ref="AK138:AK170" si="116">I138*(1-$J$137)-K138</f>
        <v>45949.154883348674</v>
      </c>
      <c r="AL138" s="1556">
        <f t="shared" ref="AL138:AL170" si="117">(E138*$C$86*$B$12-L138)*(1-U138)</f>
        <v>17158.829451148249</v>
      </c>
      <c r="AM138" s="1556">
        <f t="shared" ref="AM138:AM170" si="118">(E138*($C$85)*$B$12-O138)*(1-U138)</f>
        <v>1225.3415122615597</v>
      </c>
      <c r="AN138" s="1556">
        <f t="shared" ref="AN138:AN170" si="119">SUM(AK138:AM138)</f>
        <v>64333.325846758489</v>
      </c>
      <c r="AO138" s="1543">
        <f t="shared" ref="AO138:AO170" si="120">AN138-X138</f>
        <v>0</v>
      </c>
    </row>
    <row r="139" spans="1:91">
      <c r="A139" s="873">
        <f>'Input data'!A119</f>
        <v>2019</v>
      </c>
      <c r="B139" s="1551">
        <f>'Input data'!B119</f>
        <v>58.364834921819444</v>
      </c>
      <c r="C139" s="1550">
        <f>'Input data'!C119</f>
        <v>4436.7667702662829</v>
      </c>
      <c r="D139" s="1552">
        <f>'Input data'!D119</f>
        <v>53495734.497914702</v>
      </c>
      <c r="E139" s="1508">
        <f>'Input data'!J119*C139</f>
        <v>53378.943448602397</v>
      </c>
      <c r="F139" s="1509">
        <f>'Input data'!L119</f>
        <v>106874.6779465171</v>
      </c>
      <c r="G139" s="1509">
        <f>G137*0.89</f>
        <v>60911.340429377713</v>
      </c>
      <c r="H139" s="1509">
        <f t="shared" ref="H139:H170" si="121">E139*$B$12+I139*$E$80-G139</f>
        <v>19921.070380681893</v>
      </c>
      <c r="I139" s="1511">
        <f t="shared" si="96"/>
        <v>53495.734497914702</v>
      </c>
      <c r="J139" s="1454">
        <f t="shared" ref="J139:J149" si="122">($J$150-$J$137)/($A$150-$A$137)+J138</f>
        <v>0.11361731727283289</v>
      </c>
      <c r="K139" s="1512">
        <f t="shared" ref="K139:K170" si="123">(I139)*J139-(I139)*$J$137</f>
        <v>2785.5003563587402</v>
      </c>
      <c r="L139" s="1512">
        <f t="shared" si="97"/>
        <v>0</v>
      </c>
      <c r="M139" s="1511">
        <f t="shared" ref="M139:M170" si="124">L139+K139</f>
        <v>2785.5003563587402</v>
      </c>
      <c r="N139" s="1454">
        <v>0.1</v>
      </c>
      <c r="O139" s="530">
        <f t="shared" si="98"/>
        <v>150.38340000000005</v>
      </c>
      <c r="P139" s="1481">
        <f>O139+M139</f>
        <v>2935.8837563587404</v>
      </c>
      <c r="Q139" s="1364">
        <f t="shared" si="99"/>
        <v>77896.527053700862</v>
      </c>
      <c r="R139" s="1364">
        <f t="shared" ref="R139:R170" si="125">Q139-G139</f>
        <v>16985.186624323149</v>
      </c>
      <c r="S139" s="1514">
        <f t="shared" si="100"/>
        <v>0.55727809023829544</v>
      </c>
      <c r="T139" s="135" t="str">
        <f t="shared" si="101"/>
        <v>Yes</v>
      </c>
      <c r="U139" s="1514">
        <f t="shared" si="102"/>
        <v>0.55727809023829544</v>
      </c>
      <c r="V139" s="1539">
        <f t="shared" si="95"/>
        <v>89889.49132219395</v>
      </c>
      <c r="W139" s="1540">
        <f t="shared" si="103"/>
        <v>0.1589262017034847</v>
      </c>
      <c r="X139" s="527">
        <f t="shared" si="104"/>
        <v>60911.340429377713</v>
      </c>
      <c r="Y139" s="1509">
        <f t="shared" si="105"/>
        <v>10352.528410102976</v>
      </c>
      <c r="Z139" s="1509">
        <f t="shared" si="106"/>
        <v>2562.551002317176</v>
      </c>
      <c r="AA139" s="1509">
        <f t="shared" si="107"/>
        <v>0</v>
      </c>
      <c r="AB139" s="1509">
        <f t="shared" si="108"/>
        <v>16063.071480396085</v>
      </c>
      <c r="AC139" s="1509">
        <f t="shared" si="109"/>
        <v>89889.49132219395</v>
      </c>
      <c r="AD139" s="1535">
        <f t="shared" si="110"/>
        <v>0</v>
      </c>
      <c r="AE139" s="1504">
        <f t="shared" si="111"/>
        <v>0.67762470933394348</v>
      </c>
      <c r="AF139" s="1504">
        <f t="shared" si="112"/>
        <v>0.11516950711174966</v>
      </c>
      <c r="AG139" s="1504">
        <f t="shared" si="113"/>
        <v>2.8507792897972218E-2</v>
      </c>
      <c r="AH139" s="1504">
        <f t="shared" ref="AH139:AH170" si="126">AA139/AC139</f>
        <v>0</v>
      </c>
      <c r="AI139" s="1504">
        <f t="shared" si="114"/>
        <v>0.1786979906563346</v>
      </c>
      <c r="AJ139" s="1541">
        <f t="shared" si="115"/>
        <v>1</v>
      </c>
      <c r="AK139" s="1555">
        <f t="shared" si="116"/>
        <v>47417.692658721899</v>
      </c>
      <c r="AL139" s="1556">
        <f t="shared" si="117"/>
        <v>12612.703481765626</v>
      </c>
      <c r="AM139" s="1556">
        <f t="shared" si="118"/>
        <v>880.94428889018752</v>
      </c>
      <c r="AN139" s="1556">
        <f t="shared" si="119"/>
        <v>60911.340429377713</v>
      </c>
      <c r="AO139" s="1543">
        <f t="shared" si="120"/>
        <v>0</v>
      </c>
    </row>
    <row r="140" spans="1:91">
      <c r="A140" s="873">
        <f>'Input data'!A120</f>
        <v>2020</v>
      </c>
      <c r="B140" s="1551">
        <f>'Input data'!B120</f>
        <v>59.308690000000006</v>
      </c>
      <c r="C140" s="1550">
        <f>'Input data'!C120</f>
        <v>4156.6412676508144</v>
      </c>
      <c r="D140" s="1552">
        <f>'Input data'!D120</f>
        <v>51132056.241912685</v>
      </c>
      <c r="E140" s="1508">
        <f>'Input data'!J120*C140</f>
        <v>50008.740745401708</v>
      </c>
      <c r="F140" s="1509">
        <f>'Input data'!L120</f>
        <v>101140.79698731439</v>
      </c>
      <c r="G140" s="1509">
        <f>G137*0.81</f>
        <v>55436.163761568481</v>
      </c>
      <c r="H140" s="1509">
        <f t="shared" si="121"/>
        <v>21244.201537850815</v>
      </c>
      <c r="I140" s="1511">
        <f t="shared" si="96"/>
        <v>51132.056241912687</v>
      </c>
      <c r="J140" s="1454">
        <f t="shared" si="122"/>
        <v>0.13965210661166627</v>
      </c>
      <c r="K140" s="1512">
        <f>(I140)*J140-(I140)*$J$137</f>
        <v>3993.6369381587306</v>
      </c>
      <c r="L140" s="1512">
        <f t="shared" si="97"/>
        <v>0</v>
      </c>
      <c r="M140" s="1511">
        <f t="shared" si="124"/>
        <v>3993.6369381587306</v>
      </c>
      <c r="N140" s="1454">
        <f>($N$142-$N$137)/($A$102-$A$97)+N139</f>
        <v>0.2</v>
      </c>
      <c r="O140" s="530">
        <f t="shared" si="98"/>
        <v>300.7668000000001</v>
      </c>
      <c r="P140" s="1481">
        <f t="shared" ref="P140:P170" si="127">O140+M140</f>
        <v>4294.4037381587304</v>
      </c>
      <c r="Q140" s="1364">
        <f t="shared" si="99"/>
        <v>72385.96156126057</v>
      </c>
      <c r="R140" s="1364">
        <f t="shared" si="125"/>
        <v>16949.797799692089</v>
      </c>
      <c r="S140" s="1514">
        <f t="shared" si="100"/>
        <v>0.59693726978730677</v>
      </c>
      <c r="T140" s="135" t="str">
        <f t="shared" si="101"/>
        <v>Yes</v>
      </c>
      <c r="U140" s="1514">
        <f t="shared" si="102"/>
        <v>0.59693726978730677</v>
      </c>
      <c r="V140" s="1539">
        <f t="shared" si="95"/>
        <v>84190.999187622321</v>
      </c>
      <c r="W140" s="1540">
        <f t="shared" si="103"/>
        <v>0.16758616013099048</v>
      </c>
      <c r="X140" s="527">
        <f t="shared" si="104"/>
        <v>55436.163761568474</v>
      </c>
      <c r="Y140" s="1509">
        <f t="shared" si="105"/>
        <v>11145.306372519357</v>
      </c>
      <c r="Z140" s="1509">
        <f t="shared" si="106"/>
        <v>2560.6366375303887</v>
      </c>
      <c r="AA140" s="1509">
        <f t="shared" si="107"/>
        <v>0</v>
      </c>
      <c r="AB140" s="1509">
        <f t="shared" si="108"/>
        <v>15048.892416004092</v>
      </c>
      <c r="AC140" s="1509">
        <f t="shared" si="109"/>
        <v>84190.999187622321</v>
      </c>
      <c r="AD140" s="1535">
        <f t="shared" si="110"/>
        <v>0</v>
      </c>
      <c r="AE140" s="1504">
        <f t="shared" si="111"/>
        <v>0.65845713076794843</v>
      </c>
      <c r="AF140" s="1504">
        <f t="shared" si="112"/>
        <v>0.13238121034389538</v>
      </c>
      <c r="AG140" s="1504">
        <f t="shared" si="113"/>
        <v>3.0414612752414642E-2</v>
      </c>
      <c r="AH140" s="1504">
        <f t="shared" si="126"/>
        <v>0</v>
      </c>
      <c r="AI140" s="1504">
        <f t="shared" si="114"/>
        <v>0.17874704613574138</v>
      </c>
      <c r="AJ140" s="1541">
        <f t="shared" si="115"/>
        <v>0.99999999999999978</v>
      </c>
      <c r="AK140" s="1555">
        <f t="shared" si="116"/>
        <v>43991.356872343385</v>
      </c>
      <c r="AL140" s="1556">
        <f t="shared" si="117"/>
        <v>10757.856785463338</v>
      </c>
      <c r="AM140" s="1556">
        <f t="shared" si="118"/>
        <v>686.95010376176072</v>
      </c>
      <c r="AN140" s="1556">
        <f t="shared" si="119"/>
        <v>55436.163761568481</v>
      </c>
      <c r="AO140" s="1543">
        <f t="shared" si="120"/>
        <v>0</v>
      </c>
    </row>
    <row r="141" spans="1:91">
      <c r="A141" s="873">
        <f>'Input data'!A121</f>
        <v>2021</v>
      </c>
      <c r="B141" s="1551">
        <f>'Input data'!B121</f>
        <v>59.991580449204264</v>
      </c>
      <c r="C141" s="1550">
        <f>'Input data'!C121</f>
        <v>4293.1482366506107</v>
      </c>
      <c r="D141" s="1552">
        <f>'Input data'!D121</f>
        <v>51275503.644747034</v>
      </c>
      <c r="E141" s="1508">
        <f>'Input data'!J121*C141</f>
        <v>51651.062317816235</v>
      </c>
      <c r="F141" s="1509">
        <f>'Input data'!L121</f>
        <v>102926.56596256327</v>
      </c>
      <c r="G141" s="1509">
        <f>G137*0.65</f>
        <v>44485.810425950018</v>
      </c>
      <c r="H141" s="1509">
        <f t="shared" si="121"/>
        <v>33271.549224205002</v>
      </c>
      <c r="I141" s="1511">
        <f t="shared" si="96"/>
        <v>51275.503644747034</v>
      </c>
      <c r="J141" s="1454">
        <f t="shared" si="122"/>
        <v>0.16568689595049965</v>
      </c>
      <c r="K141" s="1512">
        <f t="shared" si="123"/>
        <v>5339.7877425342876</v>
      </c>
      <c r="L141" s="1512">
        <f t="shared" si="97"/>
        <v>0</v>
      </c>
      <c r="M141" s="1511">
        <f t="shared" si="124"/>
        <v>5339.7877425342876</v>
      </c>
      <c r="N141" s="1454">
        <v>0.4</v>
      </c>
      <c r="O141" s="530">
        <f t="shared" si="98"/>
        <v>601.53360000000021</v>
      </c>
      <c r="P141" s="1481">
        <f t="shared" si="127"/>
        <v>5941.3213425342874</v>
      </c>
      <c r="Q141" s="1364">
        <f t="shared" si="99"/>
        <v>71816.038307620736</v>
      </c>
      <c r="R141" s="1364">
        <f t="shared" si="125"/>
        <v>27330.227881670718</v>
      </c>
      <c r="S141" s="1514">
        <f t="shared" si="100"/>
        <v>0.94124627143119832</v>
      </c>
      <c r="T141" s="135" t="str">
        <f t="shared" si="101"/>
        <v>Yes</v>
      </c>
      <c r="U141" s="1514">
        <f t="shared" si="102"/>
        <v>0.94124627143119832</v>
      </c>
      <c r="V141" s="1539">
        <f t="shared" si="95"/>
        <v>75596.338080892543</v>
      </c>
      <c r="W141" s="1540">
        <f t="shared" si="103"/>
        <v>0.26553132931308865</v>
      </c>
      <c r="X141" s="527">
        <f t="shared" si="104"/>
        <v>44485.810425950018</v>
      </c>
      <c r="Y141" s="1509">
        <f t="shared" si="105"/>
        <v>12631.80009892837</v>
      </c>
      <c r="Z141" s="1509">
        <f t="shared" si="106"/>
        <v>2935.6191232226211</v>
      </c>
      <c r="AA141" s="1509">
        <f t="shared" si="107"/>
        <v>0</v>
      </c>
      <c r="AB141" s="1509">
        <f t="shared" si="108"/>
        <v>15543.108432791545</v>
      </c>
      <c r="AC141" s="1509">
        <f t="shared" si="109"/>
        <v>75596.338080892543</v>
      </c>
      <c r="AD141" s="1535">
        <f t="shared" si="110"/>
        <v>0</v>
      </c>
      <c r="AE141" s="1504">
        <f t="shared" si="111"/>
        <v>0.58846514996993071</v>
      </c>
      <c r="AF141" s="1504">
        <f t="shared" si="112"/>
        <v>0.16709539667664322</v>
      </c>
      <c r="AG141" s="1504">
        <f t="shared" si="113"/>
        <v>3.8832821770828835E-2</v>
      </c>
      <c r="AH141" s="1504">
        <f t="shared" si="126"/>
        <v>0</v>
      </c>
      <c r="AI141" s="1504">
        <f t="shared" si="114"/>
        <v>0.20560663158259732</v>
      </c>
      <c r="AJ141" s="1541">
        <f t="shared" si="115"/>
        <v>1</v>
      </c>
      <c r="AK141" s="1555">
        <f t="shared" si="116"/>
        <v>42779.824607550363</v>
      </c>
      <c r="AL141" s="1556">
        <f t="shared" si="117"/>
        <v>1619.652657637936</v>
      </c>
      <c r="AM141" s="1556">
        <f t="shared" si="118"/>
        <v>86.333160761719043</v>
      </c>
      <c r="AN141" s="1556">
        <f t="shared" si="119"/>
        <v>44485.810425950018</v>
      </c>
      <c r="AO141" s="1543">
        <f t="shared" si="120"/>
        <v>0</v>
      </c>
    </row>
    <row r="142" spans="1:91">
      <c r="A142" s="873">
        <f>'Input data'!A122</f>
        <v>2022</v>
      </c>
      <c r="B142" s="1551">
        <f>'Input data'!B122</f>
        <v>60.682333816399378</v>
      </c>
      <c r="C142" s="1550">
        <f>'Input data'!C122</f>
        <v>4403.1093139322493</v>
      </c>
      <c r="D142" s="1552">
        <f>'Input data'!D122</f>
        <v>50359792.847133137</v>
      </c>
      <c r="E142" s="1508">
        <f>'Input data'!J122*C142</f>
        <v>52974.009055765164</v>
      </c>
      <c r="F142" s="1509">
        <f>'Input data'!L122</f>
        <v>103333.8019028983</v>
      </c>
      <c r="G142" s="1557">
        <f>G137*(1-E4)</f>
        <v>34219.854173807704</v>
      </c>
      <c r="H142" s="1509">
        <f t="shared" si="121"/>
        <v>43437.270864804959</v>
      </c>
      <c r="I142" s="1511">
        <f t="shared" si="96"/>
        <v>50359.79284713314</v>
      </c>
      <c r="J142" s="1454">
        <f t="shared" si="122"/>
        <v>0.19172168528933303</v>
      </c>
      <c r="K142" s="1512">
        <f t="shared" si="123"/>
        <v>6555.5329896119965</v>
      </c>
      <c r="L142" s="1512">
        <f t="shared" si="97"/>
        <v>0</v>
      </c>
      <c r="M142" s="1511">
        <f t="shared" si="124"/>
        <v>6555.5329896119965</v>
      </c>
      <c r="N142" s="1454">
        <f>$E$26</f>
        <v>0.5</v>
      </c>
      <c r="O142" s="530">
        <f t="shared" si="98"/>
        <v>751.91700000000026</v>
      </c>
      <c r="P142" s="1481">
        <f t="shared" si="127"/>
        <v>7307.4499896119969</v>
      </c>
      <c r="Q142" s="1364">
        <f t="shared" si="99"/>
        <v>70349.675049000667</v>
      </c>
      <c r="R142" s="1364">
        <f t="shared" si="125"/>
        <v>36129.820875192963</v>
      </c>
      <c r="S142" s="1514">
        <f t="shared" si="100"/>
        <v>1.218751425485211</v>
      </c>
      <c r="T142" s="135" t="str">
        <f t="shared" si="101"/>
        <v>No</v>
      </c>
      <c r="U142" s="1514">
        <f t="shared" si="102"/>
        <v>1</v>
      </c>
      <c r="V142" s="1539">
        <f t="shared" si="95"/>
        <v>73688.855345556731</v>
      </c>
      <c r="W142" s="1540">
        <f t="shared" si="103"/>
        <v>0.28688527869320646</v>
      </c>
      <c r="X142" s="527">
        <f t="shared" si="104"/>
        <v>40704.728491659072</v>
      </c>
      <c r="Y142" s="1509">
        <f t="shared" si="105"/>
        <v>13897.124532895406</v>
      </c>
      <c r="Z142" s="1509">
        <f t="shared" si="106"/>
        <v>3145.7858208059524</v>
      </c>
      <c r="AA142" s="1509">
        <f t="shared" si="107"/>
        <v>0</v>
      </c>
      <c r="AB142" s="1509">
        <f t="shared" si="108"/>
        <v>15941.216500196295</v>
      </c>
      <c r="AC142" s="1509">
        <f t="shared" si="109"/>
        <v>73688.855345556731</v>
      </c>
      <c r="AD142" s="1554">
        <f t="shared" si="110"/>
        <v>6484.8743178513687</v>
      </c>
      <c r="AE142" s="1504">
        <f t="shared" si="111"/>
        <v>0.5523864945489817</v>
      </c>
      <c r="AF142" s="1504">
        <f t="shared" si="112"/>
        <v>0.1885919447075978</v>
      </c>
      <c r="AG142" s="1504">
        <f t="shared" si="113"/>
        <v>4.2690116518354033E-2</v>
      </c>
      <c r="AH142" s="1504">
        <f t="shared" si="126"/>
        <v>0</v>
      </c>
      <c r="AI142" s="1504">
        <f t="shared" si="114"/>
        <v>0.21633144422506645</v>
      </c>
      <c r="AJ142" s="1541">
        <f t="shared" si="115"/>
        <v>1</v>
      </c>
      <c r="AK142" s="1555">
        <f t="shared" si="116"/>
        <v>40704.72849165908</v>
      </c>
      <c r="AL142" s="1556">
        <f t="shared" si="117"/>
        <v>0</v>
      </c>
      <c r="AM142" s="1556">
        <f t="shared" si="118"/>
        <v>0</v>
      </c>
      <c r="AN142" s="1556">
        <f t="shared" si="119"/>
        <v>40704.72849165908</v>
      </c>
      <c r="AO142" s="1543">
        <f t="shared" si="120"/>
        <v>0</v>
      </c>
    </row>
    <row r="143" spans="1:91">
      <c r="A143" s="873">
        <f>'Input data'!A123</f>
        <v>2023</v>
      </c>
      <c r="B143" s="1551">
        <f>'Input data'!B123</f>
        <v>61.381040636574369</v>
      </c>
      <c r="C143" s="1550">
        <f>'Input data'!C123</f>
        <v>4507.0199361395535</v>
      </c>
      <c r="D143" s="1552">
        <f>'Input data'!D123</f>
        <v>49986151.288104504</v>
      </c>
      <c r="E143" s="1508">
        <f>'Input data'!J123*C143</f>
        <v>54224.162492651791</v>
      </c>
      <c r="F143" s="1509">
        <f>'Input data'!L123</f>
        <v>104210.31378075629</v>
      </c>
      <c r="G143" s="1557">
        <f>($G$147-$G$142)/($A$147-$A$142)+G142</f>
        <v>32166.662923379241</v>
      </c>
      <c r="H143" s="1509">
        <f t="shared" si="121"/>
        <v>45857.164292060486</v>
      </c>
      <c r="I143" s="1511">
        <f t="shared" si="96"/>
        <v>49986.151288104506</v>
      </c>
      <c r="J143" s="1454">
        <f t="shared" si="122"/>
        <v>0.21775647462816641</v>
      </c>
      <c r="K143" s="1512">
        <f t="shared" si="123"/>
        <v>7808.2735118691326</v>
      </c>
      <c r="L143" s="1512">
        <f t="shared" si="97"/>
        <v>0</v>
      </c>
      <c r="M143" s="1511">
        <f t="shared" si="124"/>
        <v>7808.2735118691326</v>
      </c>
      <c r="N143" s="1454">
        <f>($N$147-$N$142)/($A$107-$A$102)+N142</f>
        <v>0.5</v>
      </c>
      <c r="O143" s="530">
        <f t="shared" si="98"/>
        <v>751.91700000000026</v>
      </c>
      <c r="P143" s="1481">
        <f t="shared" si="127"/>
        <v>8560.190511869132</v>
      </c>
      <c r="Q143" s="1364">
        <f t="shared" si="99"/>
        <v>69463.636703570592</v>
      </c>
      <c r="R143" s="1364">
        <f t="shared" si="125"/>
        <v>37296.973780191351</v>
      </c>
      <c r="S143" s="1514">
        <f t="shared" si="100"/>
        <v>1.2283977750216122</v>
      </c>
      <c r="T143" s="135" t="str">
        <f t="shared" si="101"/>
        <v>No</v>
      </c>
      <c r="U143" s="1514">
        <f t="shared" si="102"/>
        <v>1</v>
      </c>
      <c r="V143" s="1539">
        <f t="shared" si="95"/>
        <v>73848.020280562399</v>
      </c>
      <c r="W143" s="1540">
        <f t="shared" si="103"/>
        <v>0.29135593588242947</v>
      </c>
      <c r="X143" s="527">
        <f t="shared" si="104"/>
        <v>39101.343203376688</v>
      </c>
      <c r="Y143" s="1509">
        <f t="shared" si="105"/>
        <v>15226.978225597468</v>
      </c>
      <c r="Z143" s="1509">
        <f t="shared" si="106"/>
        <v>3202.2796257327404</v>
      </c>
      <c r="AA143" s="1509">
        <f t="shared" si="107"/>
        <v>0</v>
      </c>
      <c r="AB143" s="1509">
        <f t="shared" si="108"/>
        <v>16317.419225855498</v>
      </c>
      <c r="AC143" s="1509">
        <f t="shared" si="109"/>
        <v>73848.020280562399</v>
      </c>
      <c r="AD143" s="1554">
        <f t="shared" si="110"/>
        <v>6934.6802799974466</v>
      </c>
      <c r="AE143" s="1504">
        <f t="shared" si="111"/>
        <v>0.52948397336615649</v>
      </c>
      <c r="AF143" s="1504">
        <f t="shared" si="112"/>
        <v>0.20619345200788508</v>
      </c>
      <c r="AG143" s="1504">
        <f t="shared" si="113"/>
        <v>4.3363107278525312E-2</v>
      </c>
      <c r="AH143" s="1504">
        <f t="shared" si="126"/>
        <v>0</v>
      </c>
      <c r="AI143" s="1504">
        <f t="shared" si="114"/>
        <v>0.22095946734743299</v>
      </c>
      <c r="AJ143" s="1541">
        <f t="shared" si="115"/>
        <v>0.99999999999999989</v>
      </c>
      <c r="AK143" s="1555">
        <f t="shared" si="116"/>
        <v>39101.343203376688</v>
      </c>
      <c r="AL143" s="1556">
        <f t="shared" si="117"/>
        <v>0</v>
      </c>
      <c r="AM143" s="1556">
        <f t="shared" si="118"/>
        <v>0</v>
      </c>
      <c r="AN143" s="1556">
        <f>SUM(AK143:AM143)</f>
        <v>39101.343203376688</v>
      </c>
      <c r="AO143" s="1543">
        <f t="shared" si="120"/>
        <v>0</v>
      </c>
    </row>
    <row r="144" spans="1:91">
      <c r="A144" s="873">
        <f>'Input data'!A124</f>
        <v>2024</v>
      </c>
      <c r="B144" s="1551">
        <f>'Input data'!B124</f>
        <v>62.087792487153699</v>
      </c>
      <c r="C144" s="1550">
        <f>'Input data'!C124</f>
        <v>4624.8292728728675</v>
      </c>
      <c r="D144" s="1552">
        <f>'Input data'!D124</f>
        <v>51073828.378576256</v>
      </c>
      <c r="E144" s="1508">
        <f>'Input data'!J124*C144</f>
        <v>55641.531998154896</v>
      </c>
      <c r="F144" s="1509">
        <f>'Input data'!L124</f>
        <v>106715.36037673114</v>
      </c>
      <c r="G144" s="1557">
        <f t="shared" ref="G144:G146" si="128">($G$147-$G$142)/($A$147-$A$142)+G143</f>
        <v>30113.471672950778</v>
      </c>
      <c r="H144" s="1509">
        <f t="shared" si="121"/>
        <v>49744.385281279698</v>
      </c>
      <c r="I144" s="1511">
        <f t="shared" si="96"/>
        <v>51073.828378576254</v>
      </c>
      <c r="J144" s="1454">
        <f t="shared" si="122"/>
        <v>0.24379126396699979</v>
      </c>
      <c r="K144" s="1512">
        <f t="shared" si="123"/>
        <v>9307.8745379477386</v>
      </c>
      <c r="L144" s="1512">
        <f t="shared" si="97"/>
        <v>0</v>
      </c>
      <c r="M144" s="1511">
        <f t="shared" si="124"/>
        <v>9307.8745379477386</v>
      </c>
      <c r="N144" s="1454">
        <f>($N$147-$N$142)/($A$107-$A$102)+N143</f>
        <v>0.5</v>
      </c>
      <c r="O144" s="530">
        <f t="shared" si="98"/>
        <v>751.91700000000026</v>
      </c>
      <c r="P144" s="1481">
        <f t="shared" si="127"/>
        <v>10059.791537947738</v>
      </c>
      <c r="Q144" s="1364">
        <f t="shared" si="99"/>
        <v>69798.065416282741</v>
      </c>
      <c r="R144" s="1364">
        <f t="shared" si="125"/>
        <v>39684.593743331963</v>
      </c>
      <c r="S144" s="1514">
        <f t="shared" si="100"/>
        <v>1.2729380092321385</v>
      </c>
      <c r="T144" s="135" t="str">
        <f t="shared" si="101"/>
        <v>No</v>
      </c>
      <c r="U144" s="1514">
        <f t="shared" si="102"/>
        <v>1</v>
      </c>
      <c r="V144" s="1539">
        <f t="shared" si="95"/>
        <v>75539.770162977948</v>
      </c>
      <c r="W144" s="1540">
        <f t="shared" si="103"/>
        <v>0.29213779631812875</v>
      </c>
      <c r="X144" s="527">
        <f t="shared" si="104"/>
        <v>38622.475202529524</v>
      </c>
      <c r="Y144" s="1509">
        <f t="shared" si="105"/>
        <v>16907.023632319295</v>
      </c>
      <c r="Z144" s="1509">
        <f t="shared" si="106"/>
        <v>3266.3298406827407</v>
      </c>
      <c r="AA144" s="1509">
        <f t="shared" si="107"/>
        <v>0</v>
      </c>
      <c r="AB144" s="1509">
        <f t="shared" si="108"/>
        <v>16743.941487446387</v>
      </c>
      <c r="AC144" s="1509">
        <f t="shared" si="109"/>
        <v>75539.770162977948</v>
      </c>
      <c r="AD144" s="1554">
        <f t="shared" si="110"/>
        <v>8509.0035295787457</v>
      </c>
      <c r="AE144" s="1504">
        <f t="shared" si="111"/>
        <v>0.51128663906709115</v>
      </c>
      <c r="AF144" s="1504">
        <f t="shared" si="112"/>
        <v>0.22381619107183132</v>
      </c>
      <c r="AG144" s="1504">
        <f t="shared" si="113"/>
        <v>4.3239869986837334E-2</v>
      </c>
      <c r="AH144" s="1504">
        <f t="shared" si="126"/>
        <v>0</v>
      </c>
      <c r="AI144" s="1504">
        <f t="shared" si="114"/>
        <v>0.22165729987424024</v>
      </c>
      <c r="AJ144" s="1541">
        <f t="shared" si="115"/>
        <v>1</v>
      </c>
      <c r="AK144" s="1555">
        <f t="shared" si="116"/>
        <v>38622.475202529524</v>
      </c>
      <c r="AL144" s="1556">
        <f t="shared" si="117"/>
        <v>0</v>
      </c>
      <c r="AM144" s="1556">
        <f t="shared" si="118"/>
        <v>0</v>
      </c>
      <c r="AN144" s="1556">
        <f t="shared" si="119"/>
        <v>38622.475202529524</v>
      </c>
      <c r="AO144" s="1543">
        <f t="shared" si="120"/>
        <v>0</v>
      </c>
    </row>
    <row r="145" spans="1:41">
      <c r="A145" s="873">
        <f>'Input data'!A125</f>
        <v>2025</v>
      </c>
      <c r="B145" s="1551">
        <f>'Input data'!B125</f>
        <v>62.802682000000026</v>
      </c>
      <c r="C145" s="1550">
        <f>'Input data'!C125</f>
        <v>4737.3047749260231</v>
      </c>
      <c r="D145" s="1552">
        <f>'Input data'!D125</f>
        <v>51201731.8667503</v>
      </c>
      <c r="E145" s="1508">
        <f>'Input data'!J125*C145</f>
        <v>56994.729895255135</v>
      </c>
      <c r="F145" s="1509">
        <f>'Input data'!L125</f>
        <v>108196.46176200543</v>
      </c>
      <c r="G145" s="1557">
        <f t="shared" si="128"/>
        <v>28060.280422522315</v>
      </c>
      <c r="H145" s="1509">
        <f t="shared" si="121"/>
        <v>52694.082437199271</v>
      </c>
      <c r="I145" s="1511">
        <f t="shared" si="96"/>
        <v>51201.731866750299</v>
      </c>
      <c r="J145" s="1454">
        <f t="shared" si="122"/>
        <v>0.26982605330583315</v>
      </c>
      <c r="K145" s="1512">
        <f t="shared" si="123"/>
        <v>10664.210423474206</v>
      </c>
      <c r="L145" s="1512">
        <f t="shared" si="97"/>
        <v>0</v>
      </c>
      <c r="M145" s="1511">
        <f t="shared" si="124"/>
        <v>10664.210423474206</v>
      </c>
      <c r="N145" s="1454">
        <f>($N$147-$N$142)/($A$107-$A$102)+N144</f>
        <v>0.5</v>
      </c>
      <c r="O145" s="530">
        <f t="shared" si="98"/>
        <v>751.91700000000026</v>
      </c>
      <c r="P145" s="1481">
        <f t="shared" si="127"/>
        <v>11416.127423474205</v>
      </c>
      <c r="Q145" s="1364">
        <f t="shared" si="99"/>
        <v>69338.235436247385</v>
      </c>
      <c r="R145" s="1364">
        <f t="shared" si="125"/>
        <v>41277.95501372507</v>
      </c>
      <c r="S145" s="1514">
        <f t="shared" si="100"/>
        <v>1.291871285005465</v>
      </c>
      <c r="T145" s="135" t="str">
        <f t="shared" si="101"/>
        <v>No</v>
      </c>
      <c r="U145" s="1514">
        <f t="shared" si="102"/>
        <v>1</v>
      </c>
      <c r="V145" s="1539">
        <f t="shared" si="95"/>
        <v>76244.396960479615</v>
      </c>
      <c r="W145" s="1540">
        <f t="shared" si="103"/>
        <v>0.29531524673892984</v>
      </c>
      <c r="X145" s="527">
        <f t="shared" si="104"/>
        <v>37386.170634721551</v>
      </c>
      <c r="Y145" s="1509">
        <f t="shared" si="105"/>
        <v>18379.593260585112</v>
      </c>
      <c r="Z145" s="1509">
        <f t="shared" si="106"/>
        <v>3327.4801729303604</v>
      </c>
      <c r="AA145" s="1509">
        <f t="shared" si="107"/>
        <v>0</v>
      </c>
      <c r="AB145" s="1509">
        <f t="shared" si="108"/>
        <v>17151.152892242597</v>
      </c>
      <c r="AC145" s="1509">
        <f t="shared" si="109"/>
        <v>76244.396960479615</v>
      </c>
      <c r="AD145" s="1554">
        <f t="shared" si="110"/>
        <v>9325.890212199236</v>
      </c>
      <c r="AE145" s="1504">
        <f t="shared" si="111"/>
        <v>0.49034646643084123</v>
      </c>
      <c r="AF145" s="1504">
        <f t="shared" si="112"/>
        <v>0.24106155984303945</v>
      </c>
      <c r="AG145" s="1504">
        <f t="shared" si="113"/>
        <v>4.3642291179181607E-2</v>
      </c>
      <c r="AH145" s="1504">
        <f t="shared" si="126"/>
        <v>0</v>
      </c>
      <c r="AI145" s="1504">
        <f t="shared" si="114"/>
        <v>0.22494968254693778</v>
      </c>
      <c r="AJ145" s="1541">
        <f t="shared" si="115"/>
        <v>1</v>
      </c>
      <c r="AK145" s="1555">
        <f t="shared" si="116"/>
        <v>37386.170634721559</v>
      </c>
      <c r="AL145" s="1556">
        <f t="shared" si="117"/>
        <v>0</v>
      </c>
      <c r="AM145" s="1556">
        <f t="shared" si="118"/>
        <v>0</v>
      </c>
      <c r="AN145" s="1556">
        <f t="shared" si="119"/>
        <v>37386.170634721559</v>
      </c>
      <c r="AO145" s="1543">
        <f t="shared" si="120"/>
        <v>0</v>
      </c>
    </row>
    <row r="146" spans="1:41">
      <c r="A146" s="873">
        <f>'Input data'!A126</f>
        <v>2026</v>
      </c>
      <c r="B146" s="1551">
        <f>'Input data'!B126</f>
        <v>63.421065342005143</v>
      </c>
      <c r="C146" s="1550">
        <f>'Input data'!C126</f>
        <v>4839.0369685354799</v>
      </c>
      <c r="D146" s="1552">
        <f>'Input data'!D126</f>
        <v>50537069.53539668</v>
      </c>
      <c r="E146" s="1508">
        <f>'Input data'!J126*C146</f>
        <v>58218.674558286308</v>
      </c>
      <c r="F146" s="1509">
        <f>'Input data'!L126</f>
        <v>108755.744093683</v>
      </c>
      <c r="G146" s="1557">
        <f t="shared" si="128"/>
        <v>26007.089172093853</v>
      </c>
      <c r="H146" s="1509">
        <f t="shared" si="121"/>
        <v>54825.827981512746</v>
      </c>
      <c r="I146" s="1511">
        <f t="shared" si="96"/>
        <v>50537.06953539668</v>
      </c>
      <c r="J146" s="1454">
        <f t="shared" si="122"/>
        <v>0.2958608426446665</v>
      </c>
      <c r="K146" s="1512">
        <f t="shared" si="123"/>
        <v>11841.497632404236</v>
      </c>
      <c r="L146" s="1512">
        <f t="shared" si="97"/>
        <v>0</v>
      </c>
      <c r="M146" s="1511">
        <f t="shared" si="124"/>
        <v>11841.497632404236</v>
      </c>
      <c r="N146" s="1454">
        <f>($N$147-$N$142)/($A$107-$A$102)+N145</f>
        <v>0.5</v>
      </c>
      <c r="O146" s="530">
        <f t="shared" si="98"/>
        <v>751.91700000000026</v>
      </c>
      <c r="P146" s="1481">
        <f t="shared" si="127"/>
        <v>12593.414632404236</v>
      </c>
      <c r="Q146" s="1364">
        <f t="shared" si="99"/>
        <v>68239.502521202361</v>
      </c>
      <c r="R146" s="1364">
        <f t="shared" si="125"/>
        <v>42232.413349108509</v>
      </c>
      <c r="S146" s="1514">
        <f t="shared" si="100"/>
        <v>1.2933157037350294</v>
      </c>
      <c r="T146" s="135" t="str">
        <f t="shared" si="101"/>
        <v>No</v>
      </c>
      <c r="U146" s="1514">
        <f t="shared" si="102"/>
        <v>1</v>
      </c>
      <c r="V146" s="1539">
        <f t="shared" si="95"/>
        <v>76101.371130342755</v>
      </c>
      <c r="W146" s="1540">
        <f t="shared" si="103"/>
        <v>0.30025423701033693</v>
      </c>
      <c r="X146" s="527">
        <f t="shared" si="104"/>
        <v>35585.129557862114</v>
      </c>
      <c r="Y146" s="1509">
        <f t="shared" si="105"/>
        <v>19613.983219645612</v>
      </c>
      <c r="Z146" s="1509">
        <f t="shared" si="106"/>
        <v>3382.7896165508691</v>
      </c>
      <c r="AA146" s="1509">
        <f t="shared" si="107"/>
        <v>0</v>
      </c>
      <c r="AB146" s="1509">
        <f t="shared" si="108"/>
        <v>17519.468736284161</v>
      </c>
      <c r="AC146" s="1509">
        <f t="shared" si="109"/>
        <v>76101.371130342755</v>
      </c>
      <c r="AD146" s="1554">
        <f t="shared" si="110"/>
        <v>9578.0403857682613</v>
      </c>
      <c r="AE146" s="1504">
        <f t="shared" si="111"/>
        <v>0.46760168745072439</v>
      </c>
      <c r="AF146" s="1504">
        <f t="shared" si="112"/>
        <v>0.25773495179280975</v>
      </c>
      <c r="AG146" s="1504">
        <f t="shared" si="113"/>
        <v>4.4451099452032086E-2</v>
      </c>
      <c r="AH146" s="1504">
        <f t="shared" si="126"/>
        <v>0</v>
      </c>
      <c r="AI146" s="1504">
        <f t="shared" si="114"/>
        <v>0.23021226130443381</v>
      </c>
      <c r="AJ146" s="1541">
        <f t="shared" si="115"/>
        <v>1</v>
      </c>
      <c r="AK146" s="1555">
        <f t="shared" si="116"/>
        <v>35585.129557862114</v>
      </c>
      <c r="AL146" s="1556">
        <f t="shared" si="117"/>
        <v>0</v>
      </c>
      <c r="AM146" s="1556">
        <f t="shared" si="118"/>
        <v>0</v>
      </c>
      <c r="AN146" s="1556">
        <f t="shared" si="119"/>
        <v>35585.129557862114</v>
      </c>
      <c r="AO146" s="1543">
        <f t="shared" si="120"/>
        <v>0</v>
      </c>
    </row>
    <row r="147" spans="1:41">
      <c r="A147" s="873">
        <f>'Input data'!A127</f>
        <v>2027</v>
      </c>
      <c r="B147" s="1551">
        <f>'Input data'!B127</f>
        <v>64.045537563425796</v>
      </c>
      <c r="C147" s="1550">
        <f>'Input data'!C127</f>
        <v>4937.5264455117067</v>
      </c>
      <c r="D147" s="1552">
        <f>'Input data'!D127</f>
        <v>49329037.288601168</v>
      </c>
      <c r="E147" s="1508">
        <f>'Input data'!J127*C147</f>
        <v>59403.605949548262</v>
      </c>
      <c r="F147" s="1509">
        <f>'Input data'!L127</f>
        <v>108732.64323814944</v>
      </c>
      <c r="G147" s="1557">
        <f>G137*(1-E5)</f>
        <v>23953.89792166539</v>
      </c>
      <c r="H147" s="1509">
        <f t="shared" si="121"/>
        <v>56425.260706794892</v>
      </c>
      <c r="I147" s="1511">
        <f t="shared" si="96"/>
        <v>49329.037288601168</v>
      </c>
      <c r="J147" s="1454">
        <f t="shared" si="122"/>
        <v>0.32189563198349985</v>
      </c>
      <c r="K147" s="1512">
        <f t="shared" si="123"/>
        <v>12842.710940961875</v>
      </c>
      <c r="L147" s="1512">
        <f t="shared" si="97"/>
        <v>0</v>
      </c>
      <c r="M147" s="1511">
        <f t="shared" si="124"/>
        <v>12842.710940961875</v>
      </c>
      <c r="N147" s="1454">
        <f>$C$27</f>
        <v>0.5</v>
      </c>
      <c r="O147" s="530">
        <f t="shared" si="98"/>
        <v>751.91700000000026</v>
      </c>
      <c r="P147" s="1481">
        <f t="shared" si="127"/>
        <v>13594.627940961875</v>
      </c>
      <c r="Q147" s="1364">
        <f t="shared" si="99"/>
        <v>66784.530687498409</v>
      </c>
      <c r="R147" s="1364">
        <f t="shared" si="125"/>
        <v>42830.632765833019</v>
      </c>
      <c r="S147" s="1514">
        <f t="shared" si="100"/>
        <v>1.2848819128964226</v>
      </c>
      <c r="T147" s="135" t="str">
        <f t="shared" si="101"/>
        <v>No</v>
      </c>
      <c r="U147" s="1514">
        <f t="shared" si="102"/>
        <v>1</v>
      </c>
      <c r="V147" s="1539">
        <f t="shared" si="95"/>
        <v>75398.348206100287</v>
      </c>
      <c r="W147" s="1540">
        <f t="shared" si="103"/>
        <v>0.3065711826671903</v>
      </c>
      <c r="X147" s="527">
        <f t="shared" si="104"/>
        <v>33450.235655449265</v>
      </c>
      <c r="Y147" s="1509">
        <f t="shared" si="105"/>
        <v>20635.731978531978</v>
      </c>
      <c r="Z147" s="1509">
        <f t="shared" si="106"/>
        <v>3436.3360700456424</v>
      </c>
      <c r="AA147" s="1509">
        <f t="shared" si="107"/>
        <v>0</v>
      </c>
      <c r="AB147" s="1509">
        <f t="shared" si="108"/>
        <v>17876.044502073404</v>
      </c>
      <c r="AC147" s="1509">
        <f t="shared" si="109"/>
        <v>75398.348206100287</v>
      </c>
      <c r="AD147" s="1554">
        <f t="shared" si="110"/>
        <v>9496.3377337838756</v>
      </c>
      <c r="AE147" s="1504">
        <f t="shared" si="111"/>
        <v>0.44364679666474299</v>
      </c>
      <c r="AF147" s="1504">
        <f t="shared" si="112"/>
        <v>0.27368944372792497</v>
      </c>
      <c r="AG147" s="1504">
        <f t="shared" si="113"/>
        <v>4.5575747371182029E-2</v>
      </c>
      <c r="AH147" s="1504">
        <f t="shared" si="126"/>
        <v>0</v>
      </c>
      <c r="AI147" s="1504">
        <f t="shared" si="114"/>
        <v>0.23708801223615</v>
      </c>
      <c r="AJ147" s="1541">
        <f t="shared" si="115"/>
        <v>1</v>
      </c>
      <c r="AK147" s="1555">
        <f t="shared" si="116"/>
        <v>33450.235655449258</v>
      </c>
      <c r="AL147" s="1556">
        <f t="shared" si="117"/>
        <v>0</v>
      </c>
      <c r="AM147" s="1556">
        <f t="shared" si="118"/>
        <v>0</v>
      </c>
      <c r="AN147" s="1556">
        <f t="shared" si="119"/>
        <v>33450.235655449258</v>
      </c>
      <c r="AO147" s="1543">
        <f t="shared" si="120"/>
        <v>0</v>
      </c>
    </row>
    <row r="148" spans="1:41">
      <c r="A148" s="873">
        <f>'Input data'!A128</f>
        <v>2028</v>
      </c>
      <c r="B148" s="1551">
        <f>'Input data'!B128</f>
        <v>64.676158618096451</v>
      </c>
      <c r="C148" s="1550">
        <f>'Input data'!C128</f>
        <v>5030.8888370380655</v>
      </c>
      <c r="D148" s="1552">
        <f>'Input data'!D128</f>
        <v>48528826.860263921</v>
      </c>
      <c r="E148" s="1508">
        <f>'Input data'!J128*C148</f>
        <v>60526.853141830288</v>
      </c>
      <c r="F148" s="1509">
        <f>'Input data'!L128</f>
        <v>109055.68000209422</v>
      </c>
      <c r="G148" s="1557">
        <f>($G$152-$G$147)/($A$152-$A$147)+G147</f>
        <v>21900.706671236927</v>
      </c>
      <c r="H148" s="1509">
        <f t="shared" si="121"/>
        <v>58372.019907309354</v>
      </c>
      <c r="I148" s="1511">
        <f t="shared" si="96"/>
        <v>48528.826860263922</v>
      </c>
      <c r="J148" s="1454">
        <f t="shared" si="122"/>
        <v>0.34793042132233321</v>
      </c>
      <c r="K148" s="1512">
        <f t="shared" si="123"/>
        <v>13897.815625844583</v>
      </c>
      <c r="L148" s="1512">
        <f t="shared" si="97"/>
        <v>0</v>
      </c>
      <c r="M148" s="1511">
        <f t="shared" si="124"/>
        <v>13897.815625844583</v>
      </c>
      <c r="N148" s="1454">
        <f>N147</f>
        <v>0.5</v>
      </c>
      <c r="O148" s="530">
        <f t="shared" si="98"/>
        <v>751.91700000000026</v>
      </c>
      <c r="P148" s="1481">
        <f t="shared" si="127"/>
        <v>14649.732625844583</v>
      </c>
      <c r="Q148" s="1364">
        <f t="shared" si="99"/>
        <v>65622.993952701698</v>
      </c>
      <c r="R148" s="1364">
        <f t="shared" si="125"/>
        <v>43722.287281464771</v>
      </c>
      <c r="S148" s="1514">
        <f t="shared" si="100"/>
        <v>1.2867511103341922</v>
      </c>
      <c r="T148" s="135" t="str">
        <f t="shared" si="101"/>
        <v>No</v>
      </c>
      <c r="U148" s="1514">
        <f t="shared" si="102"/>
        <v>1</v>
      </c>
      <c r="V148" s="1539">
        <f t="shared" si="95"/>
        <v>75076.857733886267</v>
      </c>
      <c r="W148" s="1540">
        <f t="shared" si="103"/>
        <v>0.31157315481005166</v>
      </c>
      <c r="X148" s="527">
        <f t="shared" si="104"/>
        <v>31644.171684493736</v>
      </c>
      <c r="Y148" s="1509">
        <f t="shared" si="105"/>
        <v>21731.533068423185</v>
      </c>
      <c r="Z148" s="1509">
        <f t="shared" si="106"/>
        <v>3487.0950456185724</v>
      </c>
      <c r="AA148" s="1509">
        <f t="shared" si="107"/>
        <v>0</v>
      </c>
      <c r="AB148" s="1509">
        <f t="shared" si="108"/>
        <v>18214.057935350767</v>
      </c>
      <c r="AC148" s="1509">
        <f t="shared" si="109"/>
        <v>75076.857733886267</v>
      </c>
      <c r="AD148" s="1554">
        <f t="shared" si="110"/>
        <v>9743.4650132568095</v>
      </c>
      <c r="AE148" s="1504">
        <f t="shared" si="111"/>
        <v>0.42149035854241673</v>
      </c>
      <c r="AF148" s="1504">
        <f t="shared" si="112"/>
        <v>0.28945714730698646</v>
      </c>
      <c r="AG148" s="1504">
        <f t="shared" si="113"/>
        <v>4.6447003122836568E-2</v>
      </c>
      <c r="AH148" s="1504">
        <f t="shared" si="126"/>
        <v>0</v>
      </c>
      <c r="AI148" s="1504">
        <f t="shared" si="114"/>
        <v>0.24260549102776011</v>
      </c>
      <c r="AJ148" s="1541">
        <f t="shared" si="115"/>
        <v>0.99999999999999989</v>
      </c>
      <c r="AK148" s="1555">
        <f t="shared" si="116"/>
        <v>31644.17168449374</v>
      </c>
      <c r="AL148" s="1556">
        <f t="shared" si="117"/>
        <v>0</v>
      </c>
      <c r="AM148" s="1556">
        <f t="shared" si="118"/>
        <v>0</v>
      </c>
      <c r="AN148" s="1556">
        <f t="shared" si="119"/>
        <v>31644.17168449374</v>
      </c>
      <c r="AO148" s="1543">
        <f t="shared" si="120"/>
        <v>0</v>
      </c>
    </row>
    <row r="149" spans="1:41">
      <c r="A149" s="873">
        <f>'Input data'!A129</f>
        <v>2029</v>
      </c>
      <c r="B149" s="1551">
        <f>'Input data'!B129</f>
        <v>65.31298905018393</v>
      </c>
      <c r="C149" s="1550">
        <f>'Input data'!C129</f>
        <v>5147.1070268118992</v>
      </c>
      <c r="D149" s="1552">
        <f>'Input data'!D129</f>
        <v>46965110.037548423</v>
      </c>
      <c r="E149" s="1508">
        <f>'Input data'!J129*C149</f>
        <v>61925.079485664915</v>
      </c>
      <c r="F149" s="1509">
        <f>'Input data'!L129</f>
        <v>108890.18952321334</v>
      </c>
      <c r="G149" s="1557">
        <f t="shared" ref="G149:G151" si="129">($G$152-$G$147)/($A$152-$A$147)+G148</f>
        <v>19847.515420808464</v>
      </c>
      <c r="H149" s="1509">
        <f t="shared" si="121"/>
        <v>59760.049800363275</v>
      </c>
      <c r="I149" s="1511">
        <f t="shared" si="96"/>
        <v>46965.110037548424</v>
      </c>
      <c r="J149" s="1454">
        <f t="shared" si="122"/>
        <v>0.37396521066116656</v>
      </c>
      <c r="K149" s="1512">
        <f t="shared" si="123"/>
        <v>14672.72095323242</v>
      </c>
      <c r="L149" s="1512">
        <f t="shared" si="97"/>
        <v>0</v>
      </c>
      <c r="M149" s="1511">
        <f t="shared" si="124"/>
        <v>14672.72095323242</v>
      </c>
      <c r="N149" s="1454">
        <f t="shared" ref="N149:N170" si="130">N148</f>
        <v>0.5</v>
      </c>
      <c r="O149" s="530">
        <f t="shared" si="98"/>
        <v>751.91700000000026</v>
      </c>
      <c r="P149" s="1481">
        <f t="shared" si="127"/>
        <v>15424.637953232419</v>
      </c>
      <c r="Q149" s="1364">
        <f t="shared" si="99"/>
        <v>64182.927267939318</v>
      </c>
      <c r="R149" s="1364">
        <f t="shared" si="125"/>
        <v>44335.411847130854</v>
      </c>
      <c r="S149" s="1514">
        <f t="shared" si="100"/>
        <v>1.2746971162776046</v>
      </c>
      <c r="T149" s="135" t="str">
        <f t="shared" si="101"/>
        <v>No</v>
      </c>
      <c r="U149" s="1514">
        <f t="shared" si="102"/>
        <v>1</v>
      </c>
      <c r="V149" s="1539">
        <f t="shared" si="95"/>
        <v>74109.055023905777</v>
      </c>
      <c r="W149" s="1540">
        <f t="shared" si="103"/>
        <v>0.31941476685457393</v>
      </c>
      <c r="X149" s="527">
        <f t="shared" si="104"/>
        <v>29401.792768631756</v>
      </c>
      <c r="Y149" s="1509">
        <f t="shared" si="105"/>
        <v>22522.162528169356</v>
      </c>
      <c r="Z149" s="1509">
        <f t="shared" si="106"/>
        <v>3550.2801907226872</v>
      </c>
      <c r="AA149" s="1509">
        <f t="shared" si="107"/>
        <v>0</v>
      </c>
      <c r="AB149" s="1509">
        <f t="shared" si="108"/>
        <v>18634.81953638198</v>
      </c>
      <c r="AC149" s="1509">
        <f t="shared" si="109"/>
        <v>74109.055023905777</v>
      </c>
      <c r="AD149" s="1554">
        <f t="shared" si="110"/>
        <v>9554.2773478232921</v>
      </c>
      <c r="AE149" s="1504">
        <f t="shared" si="111"/>
        <v>0.39673684624837618</v>
      </c>
      <c r="AF149" s="1504">
        <f t="shared" si="112"/>
        <v>0.30390567685560493</v>
      </c>
      <c r="AG149" s="1504">
        <f t="shared" si="113"/>
        <v>4.7906159234893136E-2</v>
      </c>
      <c r="AH149" s="1504">
        <f t="shared" si="126"/>
        <v>0</v>
      </c>
      <c r="AI149" s="1504">
        <f t="shared" si="114"/>
        <v>0.25145131766112577</v>
      </c>
      <c r="AJ149" s="1541">
        <f t="shared" si="115"/>
        <v>1</v>
      </c>
      <c r="AK149" s="1555">
        <f t="shared" si="116"/>
        <v>29401.792768631756</v>
      </c>
      <c r="AL149" s="1556">
        <f t="shared" si="117"/>
        <v>0</v>
      </c>
      <c r="AM149" s="1556">
        <f t="shared" si="118"/>
        <v>0</v>
      </c>
      <c r="AN149" s="1556">
        <f t="shared" si="119"/>
        <v>29401.792768631756</v>
      </c>
      <c r="AO149" s="1543">
        <f t="shared" si="120"/>
        <v>0</v>
      </c>
    </row>
    <row r="150" spans="1:41">
      <c r="A150" s="873">
        <f>'Input data'!A130</f>
        <v>2030</v>
      </c>
      <c r="B150" s="1551">
        <f>'Input data'!B130</f>
        <v>65.956090000000003</v>
      </c>
      <c r="C150" s="1550">
        <f>'Input data'!C130</f>
        <v>5262.1824199605107</v>
      </c>
      <c r="D150" s="1552">
        <f>'Input data'!D130</f>
        <v>45521353.842330128</v>
      </c>
      <c r="E150" s="1508">
        <f>'Input data'!J130*C150</f>
        <v>63309.556791159332</v>
      </c>
      <c r="F150" s="1509">
        <f>'Input data'!L130</f>
        <v>108830.91063348946</v>
      </c>
      <c r="G150" s="1557">
        <f t="shared" si="129"/>
        <v>17794.324170380001</v>
      </c>
      <c r="H150" s="1509">
        <f t="shared" si="121"/>
        <v>61252.767719482319</v>
      </c>
      <c r="I150" s="1511">
        <f t="shared" si="96"/>
        <v>45521.353842330129</v>
      </c>
      <c r="J150" s="1454">
        <f>$H$19</f>
        <v>0.4</v>
      </c>
      <c r="K150" s="1512">
        <f t="shared" si="123"/>
        <v>15406.805150146254</v>
      </c>
      <c r="L150" s="1512">
        <f t="shared" si="97"/>
        <v>0</v>
      </c>
      <c r="M150" s="1511">
        <f t="shared" si="124"/>
        <v>15406.805150146254</v>
      </c>
      <c r="N150" s="1454">
        <f t="shared" si="130"/>
        <v>0.5</v>
      </c>
      <c r="O150" s="530">
        <f t="shared" si="98"/>
        <v>751.91700000000026</v>
      </c>
      <c r="P150" s="1481">
        <f t="shared" si="127"/>
        <v>16158.722150146254</v>
      </c>
      <c r="Q150" s="1364">
        <f t="shared" si="99"/>
        <v>62888.369739716065</v>
      </c>
      <c r="R150" s="1364">
        <f t="shared" si="125"/>
        <v>45094.045569336064</v>
      </c>
      <c r="S150" s="1514">
        <f t="shared" si="100"/>
        <v>1.2675569638674462</v>
      </c>
      <c r="T150" s="135" t="str">
        <f t="shared" si="101"/>
        <v>No</v>
      </c>
      <c r="U150" s="1514">
        <f t="shared" si="102"/>
        <v>1</v>
      </c>
      <c r="V150" s="1539">
        <f t="shared" si="95"/>
        <v>73255.353199171484</v>
      </c>
      <c r="W150" s="1540">
        <f t="shared" si="103"/>
        <v>0.3268883557735357</v>
      </c>
      <c r="X150" s="527">
        <f t="shared" si="104"/>
        <v>27312.812305398078</v>
      </c>
      <c r="Y150" s="1509">
        <f t="shared" si="105"/>
        <v>23278.253165350783</v>
      </c>
      <c r="Z150" s="1509">
        <f t="shared" si="106"/>
        <v>3612.8440237006225</v>
      </c>
      <c r="AA150" s="1509">
        <f t="shared" si="107"/>
        <v>0</v>
      </c>
      <c r="AB150" s="1509">
        <f t="shared" si="108"/>
        <v>19051.443704722002</v>
      </c>
      <c r="AC150" s="1509">
        <f t="shared" si="109"/>
        <v>73255.353199171484</v>
      </c>
      <c r="AD150" s="1554">
        <f t="shared" si="110"/>
        <v>9518.4881350180767</v>
      </c>
      <c r="AE150" s="1504">
        <f t="shared" si="111"/>
        <v>0.3728439098660572</v>
      </c>
      <c r="AF150" s="1504">
        <f t="shared" si="112"/>
        <v>0.31776862916844223</v>
      </c>
      <c r="AG150" s="1504">
        <f t="shared" si="113"/>
        <v>4.9318498456730989E-2</v>
      </c>
      <c r="AH150" s="1504">
        <f t="shared" si="126"/>
        <v>0</v>
      </c>
      <c r="AI150" s="1504">
        <f t="shared" si="114"/>
        <v>0.2600689625087696</v>
      </c>
      <c r="AJ150" s="1541">
        <f t="shared" si="115"/>
        <v>1</v>
      </c>
      <c r="AK150" s="1555">
        <f t="shared" si="116"/>
        <v>27312.812305398074</v>
      </c>
      <c r="AL150" s="1556">
        <f t="shared" si="117"/>
        <v>0</v>
      </c>
      <c r="AM150" s="1556">
        <f t="shared" si="118"/>
        <v>0</v>
      </c>
      <c r="AN150" s="1556">
        <f t="shared" si="119"/>
        <v>27312.812305398074</v>
      </c>
      <c r="AO150" s="1543">
        <f t="shared" si="120"/>
        <v>0</v>
      </c>
    </row>
    <row r="151" spans="1:41">
      <c r="A151" s="873">
        <f>'Input data'!A131</f>
        <v>2031</v>
      </c>
      <c r="B151" s="1551">
        <f>'Input data'!B131</f>
        <v>66.518977190687664</v>
      </c>
      <c r="C151" s="1550">
        <f>'Input data'!C131</f>
        <v>5387.7672265735409</v>
      </c>
      <c r="D151" s="1552">
        <f>'Input data'!D131</f>
        <v>44085520.531554446</v>
      </c>
      <c r="E151" s="1508">
        <f>'Input data'!J131*C151</f>
        <v>64820.473329555214</v>
      </c>
      <c r="F151" s="1509">
        <f>'Input data'!L131</f>
        <v>108905.99386110966</v>
      </c>
      <c r="G151" s="1557">
        <f t="shared" si="129"/>
        <v>15741.132919951538</v>
      </c>
      <c r="H151" s="1509">
        <f t="shared" si="121"/>
        <v>62825.472619476619</v>
      </c>
      <c r="I151" s="1511">
        <f t="shared" si="96"/>
        <v>44085.520531554444</v>
      </c>
      <c r="J151" s="1454">
        <f>J150</f>
        <v>0.4</v>
      </c>
      <c r="K151" s="1512">
        <f t="shared" si="123"/>
        <v>14920.844119113835</v>
      </c>
      <c r="L151" s="1512">
        <f t="shared" si="97"/>
        <v>0</v>
      </c>
      <c r="M151" s="1511">
        <f t="shared" si="124"/>
        <v>14920.844119113835</v>
      </c>
      <c r="N151" s="1454">
        <f t="shared" si="130"/>
        <v>0.5</v>
      </c>
      <c r="O151" s="530">
        <f t="shared" si="98"/>
        <v>751.91700000000026</v>
      </c>
      <c r="P151" s="1481">
        <f t="shared" si="127"/>
        <v>15672.761119113835</v>
      </c>
      <c r="Q151" s="1364">
        <f t="shared" si="99"/>
        <v>62893.844420314323</v>
      </c>
      <c r="R151" s="1364">
        <f t="shared" si="125"/>
        <v>47152.711500362784</v>
      </c>
      <c r="S151" s="1514">
        <f t="shared" si="100"/>
        <v>1.2938922951123659</v>
      </c>
      <c r="T151" s="135" t="str">
        <f t="shared" si="101"/>
        <v>No</v>
      </c>
      <c r="U151" s="1514">
        <f t="shared" si="102"/>
        <v>1</v>
      </c>
      <c r="V151" s="1539">
        <f t="shared" si="95"/>
        <v>72463.461759728001</v>
      </c>
      <c r="W151" s="1540">
        <f t="shared" si="103"/>
        <v>0.33462375034984448</v>
      </c>
      <c r="X151" s="527">
        <f t="shared" si="104"/>
        <v>26451.312318932665</v>
      </c>
      <c r="Y151" s="1509">
        <f t="shared" si="105"/>
        <v>22824.911228952824</v>
      </c>
      <c r="Z151" s="1509">
        <f t="shared" si="106"/>
        <v>3681.1215820084799</v>
      </c>
      <c r="AA151" s="1509">
        <f t="shared" si="107"/>
        <v>0</v>
      </c>
      <c r="AB151" s="1509">
        <f t="shared" si="108"/>
        <v>19506.116629834032</v>
      </c>
      <c r="AC151" s="1509">
        <f t="shared" si="109"/>
        <v>72463.461759728001</v>
      </c>
      <c r="AD151" s="1554">
        <f t="shared" si="110"/>
        <v>10710.179398981127</v>
      </c>
      <c r="AE151" s="1504">
        <f t="shared" si="111"/>
        <v>0.36502965324288633</v>
      </c>
      <c r="AF151" s="1504">
        <f t="shared" si="112"/>
        <v>0.31498510662704637</v>
      </c>
      <c r="AG151" s="1504">
        <f t="shared" si="113"/>
        <v>5.0799692598377695E-2</v>
      </c>
      <c r="AH151" s="1504">
        <f t="shared" si="126"/>
        <v>0</v>
      </c>
      <c r="AI151" s="1504">
        <f t="shared" si="114"/>
        <v>0.26918554753168961</v>
      </c>
      <c r="AJ151" s="1541">
        <f t="shared" si="115"/>
        <v>1</v>
      </c>
      <c r="AK151" s="1555">
        <f t="shared" si="116"/>
        <v>26451.312318932665</v>
      </c>
      <c r="AL151" s="1556">
        <f t="shared" si="117"/>
        <v>0</v>
      </c>
      <c r="AM151" s="1556">
        <f t="shared" si="118"/>
        <v>0</v>
      </c>
      <c r="AN151" s="1556">
        <f t="shared" si="119"/>
        <v>26451.312318932665</v>
      </c>
      <c r="AO151" s="1543">
        <f t="shared" si="120"/>
        <v>0</v>
      </c>
    </row>
    <row r="152" spans="1:41">
      <c r="A152" s="873">
        <f>'Input data'!A132</f>
        <v>2032</v>
      </c>
      <c r="B152" s="1551">
        <f>'Input data'!B132</f>
        <v>67.08666821358311</v>
      </c>
      <c r="C152" s="1550">
        <f>'Input data'!C132</f>
        <v>5535.3993263804541</v>
      </c>
      <c r="D152" s="1552">
        <f>'Input data'!D132</f>
        <v>41932973.31689404</v>
      </c>
      <c r="E152" s="1508">
        <f>'Input data'!J132*C152</f>
        <v>66596.641858314426</v>
      </c>
      <c r="F152" s="1509">
        <f>'Input data'!L132</f>
        <v>108529.61517520846</v>
      </c>
      <c r="G152" s="1557">
        <f>G137*(1-E6)</f>
        <v>13687.941669523079</v>
      </c>
      <c r="H152" s="1509">
        <f t="shared" si="121"/>
        <v>63877.77921618559</v>
      </c>
      <c r="I152" s="1511">
        <f t="shared" si="96"/>
        <v>41932.973316894037</v>
      </c>
      <c r="J152" s="1454">
        <f t="shared" ref="J152:J170" si="131">J151</f>
        <v>0.4</v>
      </c>
      <c r="K152" s="1512">
        <f t="shared" si="123"/>
        <v>14192.309646531345</v>
      </c>
      <c r="L152" s="1512">
        <f t="shared" si="97"/>
        <v>0</v>
      </c>
      <c r="M152" s="1511">
        <f t="shared" si="124"/>
        <v>14192.309646531345</v>
      </c>
      <c r="N152" s="1454">
        <f t="shared" si="130"/>
        <v>0.5</v>
      </c>
      <c r="O152" s="530">
        <f t="shared" si="98"/>
        <v>751.91700000000026</v>
      </c>
      <c r="P152" s="1481">
        <f t="shared" si="127"/>
        <v>14944.226646531344</v>
      </c>
      <c r="Q152" s="1364">
        <f t="shared" si="99"/>
        <v>62621.494239177322</v>
      </c>
      <c r="R152" s="1364">
        <f t="shared" si="125"/>
        <v>48933.552569654246</v>
      </c>
      <c r="S152" s="1514">
        <f t="shared" si="100"/>
        <v>1.3062284728686953</v>
      </c>
      <c r="T152" s="135" t="str">
        <f t="shared" si="101"/>
        <v>No</v>
      </c>
      <c r="U152" s="1514">
        <f t="shared" si="102"/>
        <v>1</v>
      </c>
      <c r="V152" s="1539">
        <f t="shared" si="95"/>
        <v>71067.904926167583</v>
      </c>
      <c r="W152" s="1540">
        <f t="shared" si="103"/>
        <v>0.34517500304929016</v>
      </c>
      <c r="X152" s="527">
        <f t="shared" si="104"/>
        <v>25159.78399013642</v>
      </c>
      <c r="Y152" s="1509">
        <f t="shared" si="105"/>
        <v>22106.124617340491</v>
      </c>
      <c r="Z152" s="1509">
        <f t="shared" si="106"/>
        <v>3761.3857443265993</v>
      </c>
      <c r="AA152" s="1509">
        <f t="shared" si="107"/>
        <v>0</v>
      </c>
      <c r="AB152" s="1509">
        <f t="shared" si="108"/>
        <v>20040.610574364066</v>
      </c>
      <c r="AC152" s="1509">
        <f t="shared" si="109"/>
        <v>71067.904926167583</v>
      </c>
      <c r="AD152" s="1554">
        <f t="shared" si="110"/>
        <v>11471.842320613341</v>
      </c>
      <c r="AE152" s="1504">
        <f t="shared" si="111"/>
        <v>0.35402456307491981</v>
      </c>
      <c r="AF152" s="1504">
        <f t="shared" si="112"/>
        <v>0.31105637123124052</v>
      </c>
      <c r="AG152" s="1504">
        <f t="shared" si="113"/>
        <v>5.2926644569504355E-2</v>
      </c>
      <c r="AH152" s="1504">
        <f t="shared" si="126"/>
        <v>0</v>
      </c>
      <c r="AI152" s="1504">
        <f t="shared" si="114"/>
        <v>0.2819924211243352</v>
      </c>
      <c r="AJ152" s="1541">
        <f t="shared" si="115"/>
        <v>0.99999999999999989</v>
      </c>
      <c r="AK152" s="1555">
        <f t="shared" si="116"/>
        <v>25159.78399013642</v>
      </c>
      <c r="AL152" s="1556">
        <f t="shared" si="117"/>
        <v>0</v>
      </c>
      <c r="AM152" s="1556">
        <f t="shared" si="118"/>
        <v>0</v>
      </c>
      <c r="AN152" s="1556">
        <f t="shared" si="119"/>
        <v>25159.78399013642</v>
      </c>
      <c r="AO152" s="1543">
        <f t="shared" si="120"/>
        <v>0</v>
      </c>
    </row>
    <row r="153" spans="1:41">
      <c r="A153" s="873">
        <f>'Input data'!A133</f>
        <v>2033</v>
      </c>
      <c r="B153" s="1551">
        <f>'Input data'!B133</f>
        <v>67.659204065895452</v>
      </c>
      <c r="C153" s="1550">
        <f>'Input data'!C133</f>
        <v>5694.7516404688276</v>
      </c>
      <c r="D153" s="1552">
        <f>'Input data'!D133</f>
        <v>41056214.022582531</v>
      </c>
      <c r="E153" s="1508">
        <f>'Input data'!J133*C153</f>
        <v>68513.816819849919</v>
      </c>
      <c r="F153" s="1509">
        <f>'Input data'!L133</f>
        <v>109570.03084243245</v>
      </c>
      <c r="G153" s="1557">
        <f>G152</f>
        <v>13687.941669523079</v>
      </c>
      <c r="H153" s="1509">
        <f t="shared" si="121"/>
        <v>64155.071116446576</v>
      </c>
      <c r="I153" s="1511">
        <f t="shared" si="96"/>
        <v>41056.214022582528</v>
      </c>
      <c r="J153" s="1454">
        <f t="shared" si="131"/>
        <v>0.4</v>
      </c>
      <c r="K153" s="1512">
        <f t="shared" si="123"/>
        <v>13895.568480663906</v>
      </c>
      <c r="L153" s="1512">
        <f t="shared" si="97"/>
        <v>0</v>
      </c>
      <c r="M153" s="1511">
        <f t="shared" si="124"/>
        <v>13895.568480663906</v>
      </c>
      <c r="N153" s="1454">
        <f t="shared" si="130"/>
        <v>0.5</v>
      </c>
      <c r="O153" s="530">
        <f t="shared" si="98"/>
        <v>751.91700000000026</v>
      </c>
      <c r="P153" s="1481">
        <f t="shared" si="127"/>
        <v>14647.485480663905</v>
      </c>
      <c r="Q153" s="1364">
        <f t="shared" si="99"/>
        <v>63195.527305305746</v>
      </c>
      <c r="R153" s="1364">
        <f t="shared" si="125"/>
        <v>49507.585635782671</v>
      </c>
      <c r="S153" s="1514">
        <f t="shared" si="100"/>
        <v>1.283850521982947</v>
      </c>
      <c r="T153" s="135" t="str">
        <f t="shared" si="101"/>
        <v>No</v>
      </c>
      <c r="U153" s="1514">
        <f t="shared" si="102"/>
        <v>1</v>
      </c>
      <c r="V153" s="1539">
        <f t="shared" si="95"/>
        <v>71008.231950676243</v>
      </c>
      <c r="W153" s="1540">
        <f t="shared" si="103"/>
        <v>0.35193746497352119</v>
      </c>
      <c r="X153" s="527">
        <f t="shared" si="104"/>
        <v>24633.728413549517</v>
      </c>
      <c r="Y153" s="1509">
        <f t="shared" si="105"/>
        <v>21908.944706902541</v>
      </c>
      <c r="Z153" s="1509">
        <f t="shared" si="106"/>
        <v>3848.0219164089949</v>
      </c>
      <c r="AA153" s="1509">
        <f t="shared" si="107"/>
        <v>0</v>
      </c>
      <c r="AB153" s="1509">
        <f t="shared" si="108"/>
        <v>20617.53691381518</v>
      </c>
      <c r="AC153" s="1509">
        <f t="shared" si="109"/>
        <v>71008.231950676243</v>
      </c>
      <c r="AD153" s="1554">
        <f t="shared" si="110"/>
        <v>10945.786744026438</v>
      </c>
      <c r="AE153" s="1504">
        <f t="shared" si="111"/>
        <v>0.3469136991139366</v>
      </c>
      <c r="AF153" s="1504">
        <f t="shared" si="112"/>
        <v>0.30854091286374991</v>
      </c>
      <c r="AG153" s="1504">
        <f t="shared" si="113"/>
        <v>5.4191208690872752E-2</v>
      </c>
      <c r="AH153" s="1504">
        <f t="shared" si="126"/>
        <v>0</v>
      </c>
      <c r="AI153" s="1504">
        <f t="shared" si="114"/>
        <v>0.29035417933144059</v>
      </c>
      <c r="AJ153" s="1541">
        <f t="shared" si="115"/>
        <v>0.99999999999999989</v>
      </c>
      <c r="AK153" s="1555">
        <f t="shared" si="116"/>
        <v>24633.728413549521</v>
      </c>
      <c r="AL153" s="1556">
        <f t="shared" si="117"/>
        <v>0</v>
      </c>
      <c r="AM153" s="1556">
        <f t="shared" si="118"/>
        <v>0</v>
      </c>
      <c r="AN153" s="1556">
        <f t="shared" si="119"/>
        <v>24633.728413549521</v>
      </c>
      <c r="AO153" s="1543">
        <f t="shared" si="120"/>
        <v>0</v>
      </c>
    </row>
    <row r="154" spans="1:41">
      <c r="A154" s="873">
        <f>'Input data'!A134</f>
        <v>2034</v>
      </c>
      <c r="B154" s="1551">
        <f>'Input data'!B134</f>
        <v>68.236626094715163</v>
      </c>
      <c r="C154" s="1550">
        <f>'Input data'!C134</f>
        <v>5880.7243334969316</v>
      </c>
      <c r="D154" s="1552">
        <f>'Input data'!D134</f>
        <v>40488564.369250603</v>
      </c>
      <c r="E154" s="1508">
        <f>'Input data'!J134*C154</f>
        <v>70751.262775012379</v>
      </c>
      <c r="F154" s="1509">
        <f>'Input data'!L134</f>
        <v>111239.82714426299</v>
      </c>
      <c r="G154" s="1557">
        <f t="shared" ref="G154:G170" si="132">G153</f>
        <v>13687.941669523079</v>
      </c>
      <c r="H154" s="1509">
        <f t="shared" si="121"/>
        <v>64906.221434696068</v>
      </c>
      <c r="I154" s="1511">
        <f t="shared" si="96"/>
        <v>40488.564369250606</v>
      </c>
      <c r="J154" s="1454">
        <f t="shared" si="131"/>
        <v>0.4</v>
      </c>
      <c r="K154" s="1512">
        <f t="shared" si="123"/>
        <v>13703.446171808049</v>
      </c>
      <c r="L154" s="1512">
        <f t="shared" si="97"/>
        <v>0</v>
      </c>
      <c r="M154" s="1511">
        <f t="shared" si="124"/>
        <v>13703.446171808049</v>
      </c>
      <c r="N154" s="1454">
        <f t="shared" si="130"/>
        <v>0.5</v>
      </c>
      <c r="O154" s="530">
        <f t="shared" si="98"/>
        <v>751.91700000000026</v>
      </c>
      <c r="P154" s="1481">
        <f t="shared" si="127"/>
        <v>14455.363171808049</v>
      </c>
      <c r="Q154" s="1364">
        <f t="shared" si="99"/>
        <v>64138.799932411093</v>
      </c>
      <c r="R154" s="1364">
        <f t="shared" si="125"/>
        <v>50450.85826288801</v>
      </c>
      <c r="S154" s="1514">
        <f t="shared" si="100"/>
        <v>1.2661568814052191</v>
      </c>
      <c r="T154" s="135" t="str">
        <f t="shared" si="101"/>
        <v>No</v>
      </c>
      <c r="U154" s="1514">
        <f t="shared" si="102"/>
        <v>1</v>
      </c>
      <c r="V154" s="1539">
        <f t="shared" si="95"/>
        <v>71394.16583340225</v>
      </c>
      <c r="W154" s="1540">
        <f t="shared" si="103"/>
        <v>0.35819600168190047</v>
      </c>
      <c r="X154" s="527">
        <f t="shared" si="104"/>
        <v>24293.138621550363</v>
      </c>
      <c r="Y154" s="1509">
        <f t="shared" si="105"/>
        <v>21861.055358708316</v>
      </c>
      <c r="Z154" s="1509">
        <f t="shared" si="106"/>
        <v>3949.1309735819841</v>
      </c>
      <c r="AA154" s="1509">
        <f t="shared" si="107"/>
        <v>0</v>
      </c>
      <c r="AB154" s="1509">
        <f t="shared" si="108"/>
        <v>21290.840879561598</v>
      </c>
      <c r="AC154" s="1509">
        <f t="shared" si="109"/>
        <v>71394.16583340225</v>
      </c>
      <c r="AD154" s="1554">
        <f t="shared" si="110"/>
        <v>10605.196952027283</v>
      </c>
      <c r="AE154" s="1504">
        <f t="shared" si="111"/>
        <v>0.34026784034760232</v>
      </c>
      <c r="AF154" s="1504">
        <f t="shared" si="112"/>
        <v>0.30620226601877981</v>
      </c>
      <c r="AG154" s="1504">
        <f t="shared" si="113"/>
        <v>5.5314477415385054E-2</v>
      </c>
      <c r="AH154" s="1504">
        <f t="shared" si="126"/>
        <v>0</v>
      </c>
      <c r="AI154" s="1504">
        <f t="shared" si="114"/>
        <v>0.29821541621823294</v>
      </c>
      <c r="AJ154" s="1541">
        <f t="shared" si="115"/>
        <v>1.0000000000000002</v>
      </c>
      <c r="AK154" s="1555">
        <f t="shared" si="116"/>
        <v>24293.138621550359</v>
      </c>
      <c r="AL154" s="1556">
        <f t="shared" si="117"/>
        <v>0</v>
      </c>
      <c r="AM154" s="1556">
        <f t="shared" si="118"/>
        <v>0</v>
      </c>
      <c r="AN154" s="1556">
        <f t="shared" si="119"/>
        <v>24293.138621550359</v>
      </c>
      <c r="AO154" s="1543">
        <f t="shared" si="120"/>
        <v>0</v>
      </c>
    </row>
    <row r="155" spans="1:41">
      <c r="A155" s="873">
        <f>'Input data'!A135</f>
        <v>2035</v>
      </c>
      <c r="B155" s="1551">
        <f>'Input data'!B135</f>
        <v>68.818976000000006</v>
      </c>
      <c r="C155" s="1550">
        <f>'Input data'!C135</f>
        <v>6030.7021264561972</v>
      </c>
      <c r="D155" s="1552">
        <f>'Input data'!D135</f>
        <v>31941700.142198853</v>
      </c>
      <c r="E155" s="1508">
        <f>'Input data'!J135*C155</f>
        <v>72555.652445114043</v>
      </c>
      <c r="F155" s="1509">
        <f>'Input data'!L135</f>
        <v>104497.3525873129</v>
      </c>
      <c r="G155" s="1557">
        <f t="shared" si="132"/>
        <v>13687.941669523079</v>
      </c>
      <c r="H155" s="1509">
        <f t="shared" si="121"/>
        <v>57920.769012387973</v>
      </c>
      <c r="I155" s="1511">
        <f t="shared" si="96"/>
        <v>31941.700142198853</v>
      </c>
      <c r="J155" s="1454">
        <f t="shared" si="131"/>
        <v>0.4</v>
      </c>
      <c r="K155" s="1512">
        <f t="shared" si="123"/>
        <v>10810.740646242306</v>
      </c>
      <c r="L155" s="1512">
        <f t="shared" si="97"/>
        <v>0</v>
      </c>
      <c r="M155" s="1511">
        <f t="shared" si="124"/>
        <v>10810.740646242306</v>
      </c>
      <c r="N155" s="1454">
        <f t="shared" si="130"/>
        <v>0.5</v>
      </c>
      <c r="O155" s="530">
        <f t="shared" si="98"/>
        <v>751.91700000000026</v>
      </c>
      <c r="P155" s="1481">
        <f t="shared" si="127"/>
        <v>11562.657646242305</v>
      </c>
      <c r="Q155" s="1364">
        <f t="shared" si="99"/>
        <v>60046.053035668745</v>
      </c>
      <c r="R155" s="1364">
        <f t="shared" si="125"/>
        <v>46358.111366145662</v>
      </c>
      <c r="S155" s="1514">
        <f t="shared" si="100"/>
        <v>1.1339760280139746</v>
      </c>
      <c r="T155" s="135" t="str">
        <f t="shared" si="101"/>
        <v>No</v>
      </c>
      <c r="U155" s="1514">
        <f t="shared" si="102"/>
        <v>1</v>
      </c>
      <c r="V155" s="1539">
        <f t="shared" si="95"/>
        <v>63616.319636963475</v>
      </c>
      <c r="W155" s="1540">
        <f t="shared" si="103"/>
        <v>0.39121596804274272</v>
      </c>
      <c r="X155" s="527">
        <f t="shared" si="104"/>
        <v>19165.020085319313</v>
      </c>
      <c r="Y155" s="1509">
        <f t="shared" si="105"/>
        <v>18586.801838680862</v>
      </c>
      <c r="Z155" s="1509">
        <f t="shared" si="106"/>
        <v>4030.6704350808041</v>
      </c>
      <c r="AA155" s="1509">
        <f t="shared" si="107"/>
        <v>0</v>
      </c>
      <c r="AB155" s="1509">
        <f t="shared" si="108"/>
        <v>21833.82727788249</v>
      </c>
      <c r="AC155" s="1509">
        <f t="shared" si="109"/>
        <v>63616.319636963475</v>
      </c>
      <c r="AD155" s="1554">
        <f t="shared" si="110"/>
        <v>5477.0784157962335</v>
      </c>
      <c r="AE155" s="1504">
        <f t="shared" si="111"/>
        <v>0.30125949119168655</v>
      </c>
      <c r="AF155" s="1504">
        <f t="shared" si="112"/>
        <v>0.292170341584508</v>
      </c>
      <c r="AG155" s="1504">
        <f t="shared" si="113"/>
        <v>6.3359063493180032E-2</v>
      </c>
      <c r="AH155" s="1504">
        <f t="shared" si="126"/>
        <v>0</v>
      </c>
      <c r="AI155" s="1504">
        <f t="shared" si="114"/>
        <v>0.34321110373062536</v>
      </c>
      <c r="AJ155" s="1541">
        <f t="shared" si="115"/>
        <v>0.99999999999999989</v>
      </c>
      <c r="AK155" s="1555">
        <f t="shared" si="116"/>
        <v>19165.020085319309</v>
      </c>
      <c r="AL155" s="1556">
        <f t="shared" si="117"/>
        <v>0</v>
      </c>
      <c r="AM155" s="1556">
        <f t="shared" si="118"/>
        <v>0</v>
      </c>
      <c r="AN155" s="1556">
        <f t="shared" si="119"/>
        <v>19165.020085319309</v>
      </c>
      <c r="AO155" s="1543">
        <f t="shared" si="120"/>
        <v>0</v>
      </c>
    </row>
    <row r="156" spans="1:41">
      <c r="A156" s="873">
        <f>'Input data'!A136</f>
        <v>2036</v>
      </c>
      <c r="B156" s="1551">
        <f>'Input data'!B136</f>
        <v>69.322810489383542</v>
      </c>
      <c r="C156" s="1550">
        <f>'Input data'!C136</f>
        <v>6175.9287194301432</v>
      </c>
      <c r="D156" s="1552">
        <f>'Input data'!D136</f>
        <v>22500187.169642892</v>
      </c>
      <c r="E156" s="1508">
        <f>'Input data'!J136*C156</f>
        <v>74302.880211410215</v>
      </c>
      <c r="F156" s="1509">
        <f>'Input data'!L136</f>
        <v>96803.067381053115</v>
      </c>
      <c r="G156" s="1557">
        <f t="shared" si="132"/>
        <v>13687.941669523079</v>
      </c>
      <c r="H156" s="1509">
        <f t="shared" si="121"/>
        <v>50062.931544317005</v>
      </c>
      <c r="I156" s="1511">
        <f t="shared" si="96"/>
        <v>22500.187169642893</v>
      </c>
      <c r="J156" s="1454">
        <f t="shared" si="131"/>
        <v>0.4</v>
      </c>
      <c r="K156" s="1512">
        <f>(I156)*J156-(I156)*$J$137</f>
        <v>7615.2392295976661</v>
      </c>
      <c r="L156" s="1512">
        <f t="shared" si="97"/>
        <v>0</v>
      </c>
      <c r="M156" s="1511">
        <f t="shared" si="124"/>
        <v>7615.2392295976661</v>
      </c>
      <c r="N156" s="1454">
        <f t="shared" si="130"/>
        <v>0.5</v>
      </c>
      <c r="O156" s="530">
        <f t="shared" si="98"/>
        <v>751.91700000000026</v>
      </c>
      <c r="P156" s="1481">
        <f t="shared" si="127"/>
        <v>8367.1562295976655</v>
      </c>
      <c r="Q156" s="1364">
        <f t="shared" si="99"/>
        <v>55383.716984242419</v>
      </c>
      <c r="R156" s="1364">
        <f t="shared" si="125"/>
        <v>41695.775314719343</v>
      </c>
      <c r="S156" s="1514">
        <f t="shared" si="100"/>
        <v>0.99551544407026604</v>
      </c>
      <c r="T156" s="135" t="str">
        <f t="shared" si="101"/>
        <v>Yes</v>
      </c>
      <c r="U156" s="1514">
        <f t="shared" si="102"/>
        <v>0.99551544407026604</v>
      </c>
      <c r="V156" s="1539">
        <f t="shared" si="95"/>
        <v>55107.292066333779</v>
      </c>
      <c r="W156" s="1540">
        <f t="shared" si="103"/>
        <v>0.43072783169761708</v>
      </c>
      <c r="X156" s="527">
        <f t="shared" si="104"/>
        <v>13687.941669523079</v>
      </c>
      <c r="Y156" s="1509">
        <f t="shared" si="105"/>
        <v>14950.11140144718</v>
      </c>
      <c r="Z156" s="1509">
        <f t="shared" si="106"/>
        <v>4109.6267789017866</v>
      </c>
      <c r="AA156" s="1509">
        <f t="shared" si="107"/>
        <v>0</v>
      </c>
      <c r="AB156" s="1509">
        <f t="shared" si="108"/>
        <v>22359.612216461734</v>
      </c>
      <c r="AC156" s="1509">
        <f t="shared" si="109"/>
        <v>55107.292066333779</v>
      </c>
      <c r="AD156" s="1554">
        <f t="shared" si="110"/>
        <v>0</v>
      </c>
      <c r="AE156" s="1504">
        <f t="shared" si="111"/>
        <v>0.24838712185397574</v>
      </c>
      <c r="AF156" s="1504">
        <f t="shared" si="112"/>
        <v>0.27129098238852717</v>
      </c>
      <c r="AG156" s="1504">
        <f t="shared" si="113"/>
        <v>7.4575008584253144E-2</v>
      </c>
      <c r="AH156" s="1504">
        <f t="shared" si="126"/>
        <v>0</v>
      </c>
      <c r="AI156" s="1504">
        <f t="shared" si="114"/>
        <v>0.40574688717324398</v>
      </c>
      <c r="AJ156" s="1541">
        <f t="shared" si="115"/>
        <v>1</v>
      </c>
      <c r="AK156" s="1555">
        <f t="shared" si="116"/>
        <v>13500.112301785734</v>
      </c>
      <c r="AL156" s="1556">
        <f t="shared" si="117"/>
        <v>177.84116336312255</v>
      </c>
      <c r="AM156" s="1556">
        <f t="shared" si="118"/>
        <v>9.9882043742214659</v>
      </c>
      <c r="AN156" s="1556">
        <f t="shared" si="119"/>
        <v>13687.941669523078</v>
      </c>
      <c r="AO156" s="1543">
        <f t="shared" si="120"/>
        <v>0</v>
      </c>
    </row>
    <row r="157" spans="1:41">
      <c r="A157" s="873">
        <f>'Input data'!A137</f>
        <v>2037</v>
      </c>
      <c r="B157" s="1551">
        <f>'Input data'!B137</f>
        <v>69.830333629884052</v>
      </c>
      <c r="C157" s="1550">
        <f>'Input data'!C137</f>
        <v>6338.2033947034479</v>
      </c>
      <c r="D157" s="1552">
        <f>'Input data'!D137</f>
        <v>17781297.212015409</v>
      </c>
      <c r="E157" s="1508">
        <f>'Input data'!J137*C157</f>
        <v>76255.214233699648</v>
      </c>
      <c r="F157" s="1509">
        <f>'Input data'!L137</f>
        <v>94036.511445715063</v>
      </c>
      <c r="G157" s="1557">
        <f t="shared" si="132"/>
        <v>13687.941669523079</v>
      </c>
      <c r="H157" s="1509">
        <f t="shared" si="121"/>
        <v>46754.741754360221</v>
      </c>
      <c r="I157" s="1511">
        <f t="shared" si="96"/>
        <v>17781.297212015408</v>
      </c>
      <c r="J157" s="1454">
        <f t="shared" si="131"/>
        <v>0.4</v>
      </c>
      <c r="K157" s="1512">
        <f t="shared" si="123"/>
        <v>6018.1202521180821</v>
      </c>
      <c r="L157" s="1512">
        <f t="shared" si="97"/>
        <v>0</v>
      </c>
      <c r="M157" s="1511">
        <f t="shared" si="124"/>
        <v>6018.1202521180821</v>
      </c>
      <c r="N157" s="1454">
        <f t="shared" si="130"/>
        <v>0.5</v>
      </c>
      <c r="O157" s="530">
        <f t="shared" si="98"/>
        <v>751.91700000000026</v>
      </c>
      <c r="P157" s="1481">
        <f t="shared" si="127"/>
        <v>6770.0372521180825</v>
      </c>
      <c r="Q157" s="1364">
        <f t="shared" si="99"/>
        <v>53672.646171765213</v>
      </c>
      <c r="R157" s="1364">
        <f t="shared" si="125"/>
        <v>39984.704502242137</v>
      </c>
      <c r="S157" s="1514">
        <f t="shared" si="100"/>
        <v>0.92979321410745985</v>
      </c>
      <c r="T157" s="135" t="str">
        <f t="shared" si="101"/>
        <v>Yes</v>
      </c>
      <c r="U157" s="1514">
        <f t="shared" si="102"/>
        <v>0.92979321410745985</v>
      </c>
      <c r="V157" s="1539">
        <f t="shared" si="95"/>
        <v>54051.806943472926</v>
      </c>
      <c r="W157" s="1540">
        <f t="shared" si="103"/>
        <v>0.42520403923452976</v>
      </c>
      <c r="X157" s="527">
        <f t="shared" si="104"/>
        <v>13687.941669523076</v>
      </c>
      <c r="Y157" s="1509">
        <f t="shared" si="105"/>
        <v>13218.894697914573</v>
      </c>
      <c r="Z157" s="1509">
        <f t="shared" si="106"/>
        <v>4197.8517712529874</v>
      </c>
      <c r="AA157" s="1509">
        <f t="shared" si="107"/>
        <v>0</v>
      </c>
      <c r="AB157" s="1509">
        <f t="shared" si="108"/>
        <v>22947.118804782291</v>
      </c>
      <c r="AC157" s="1509">
        <f t="shared" si="109"/>
        <v>54051.806943472926</v>
      </c>
      <c r="AD157" s="1554">
        <f t="shared" si="110"/>
        <v>0</v>
      </c>
      <c r="AE157" s="1504">
        <f t="shared" si="111"/>
        <v>0.25323744835834716</v>
      </c>
      <c r="AF157" s="1504">
        <f t="shared" si="112"/>
        <v>0.24455971863695175</v>
      </c>
      <c r="AG157" s="1504">
        <f t="shared" si="113"/>
        <v>7.7663486359356632E-2</v>
      </c>
      <c r="AH157" s="1504">
        <f t="shared" si="126"/>
        <v>0</v>
      </c>
      <c r="AI157" s="1504">
        <f t="shared" si="114"/>
        <v>0.42453934664534448</v>
      </c>
      <c r="AJ157" s="1541">
        <f t="shared" si="115"/>
        <v>1</v>
      </c>
      <c r="AK157" s="1555">
        <f t="shared" si="116"/>
        <v>10668.778327209246</v>
      </c>
      <c r="AL157" s="1556">
        <f t="shared" si="117"/>
        <v>2857.2999527165493</v>
      </c>
      <c r="AM157" s="1556">
        <f t="shared" si="118"/>
        <v>161.86338959728286</v>
      </c>
      <c r="AN157" s="1556">
        <f t="shared" si="119"/>
        <v>13687.941669523078</v>
      </c>
      <c r="AO157" s="1543">
        <f t="shared" si="120"/>
        <v>0</v>
      </c>
    </row>
    <row r="158" spans="1:41">
      <c r="A158" s="873">
        <f>'Input data'!A138</f>
        <v>2038</v>
      </c>
      <c r="B158" s="1551">
        <f>'Input data'!B138</f>
        <v>70.341572426693446</v>
      </c>
      <c r="C158" s="1550">
        <f>'Input data'!C138</f>
        <v>6499.2753713641341</v>
      </c>
      <c r="D158" s="1552">
        <f>'Input data'!D138</f>
        <v>14837853.800490763</v>
      </c>
      <c r="E158" s="1508">
        <f>'Input data'!J138*C158</f>
        <v>78193.078534105356</v>
      </c>
      <c r="F158" s="1509">
        <f>'Input data'!L138</f>
        <v>93030.932334596117</v>
      </c>
      <c r="G158" s="1509">
        <f t="shared" si="132"/>
        <v>13687.941669523079</v>
      </c>
      <c r="H158" s="1509">
        <f t="shared" si="121"/>
        <v>45104.420961159514</v>
      </c>
      <c r="I158" s="1511">
        <f t="shared" si="96"/>
        <v>14837.853800490762</v>
      </c>
      <c r="J158" s="1454">
        <f t="shared" si="131"/>
        <v>0.4</v>
      </c>
      <c r="K158" s="1512">
        <f t="shared" si="123"/>
        <v>5021.9051731704076</v>
      </c>
      <c r="L158" s="1512">
        <f t="shared" si="97"/>
        <v>0</v>
      </c>
      <c r="M158" s="1511">
        <f t="shared" si="124"/>
        <v>5021.9051731704076</v>
      </c>
      <c r="N158" s="1454">
        <f t="shared" si="130"/>
        <v>0.5</v>
      </c>
      <c r="O158" s="530">
        <f t="shared" si="98"/>
        <v>751.91700000000026</v>
      </c>
      <c r="P158" s="1481">
        <f t="shared" si="127"/>
        <v>5773.822173170408</v>
      </c>
      <c r="Q158" s="1364">
        <f t="shared" si="99"/>
        <v>53018.540457512179</v>
      </c>
      <c r="R158" s="1364">
        <f t="shared" si="125"/>
        <v>39330.598787989104</v>
      </c>
      <c r="S158" s="1514">
        <f t="shared" si="100"/>
        <v>0.89153032852503933</v>
      </c>
      <c r="T158" s="135" t="str">
        <f t="shared" si="101"/>
        <v>Yes</v>
      </c>
      <c r="U158" s="1514">
        <f t="shared" si="102"/>
        <v>0.89153032852503933</v>
      </c>
      <c r="V158" s="1539">
        <f t="shared" si="95"/>
        <v>53700.333546607028</v>
      </c>
      <c r="W158" s="1540">
        <f t="shared" si="103"/>
        <v>0.42276904897106915</v>
      </c>
      <c r="X158" s="527">
        <f t="shared" si="104"/>
        <v>13687.941669523078</v>
      </c>
      <c r="Y158" s="1509">
        <f t="shared" si="105"/>
        <v>12196.697904390883</v>
      </c>
      <c r="Z158" s="1509">
        <f t="shared" si="106"/>
        <v>4285.4228841512158</v>
      </c>
      <c r="AA158" s="1509">
        <f t="shared" si="107"/>
        <v>0</v>
      </c>
      <c r="AB158" s="1509">
        <f t="shared" si="108"/>
        <v>23530.271088541846</v>
      </c>
      <c r="AC158" s="1509">
        <f t="shared" si="109"/>
        <v>53700.333546607028</v>
      </c>
      <c r="AD158" s="1554">
        <f t="shared" si="110"/>
        <v>0</v>
      </c>
      <c r="AE158" s="1504">
        <f t="shared" si="111"/>
        <v>0.25489490968697959</v>
      </c>
      <c r="AF158" s="1504">
        <f t="shared" si="112"/>
        <v>0.22712517965657053</v>
      </c>
      <c r="AG158" s="1504">
        <f t="shared" si="113"/>
        <v>7.9802537547217597E-2</v>
      </c>
      <c r="AH158" s="1504">
        <f t="shared" si="126"/>
        <v>0</v>
      </c>
      <c r="AI158" s="1504">
        <f t="shared" si="114"/>
        <v>0.43817737310923222</v>
      </c>
      <c r="AJ158" s="1541">
        <f t="shared" si="115"/>
        <v>0.99999999999999989</v>
      </c>
      <c r="AK158" s="1555">
        <f t="shared" si="116"/>
        <v>8902.7122802944559</v>
      </c>
      <c r="AL158" s="1556">
        <f t="shared" si="117"/>
        <v>4526.7221055766722</v>
      </c>
      <c r="AM158" s="1556">
        <f t="shared" si="118"/>
        <v>258.50728365194686</v>
      </c>
      <c r="AN158" s="1556">
        <f t="shared" si="119"/>
        <v>13687.941669523076</v>
      </c>
      <c r="AO158" s="1543">
        <f t="shared" si="120"/>
        <v>0</v>
      </c>
    </row>
    <row r="159" spans="1:41">
      <c r="A159" s="873">
        <f>'Input data'!A139</f>
        <v>2039</v>
      </c>
      <c r="B159" s="1551">
        <f>'Input data'!B139</f>
        <v>70.856554082712819</v>
      </c>
      <c r="C159" s="1550">
        <f>'Input data'!C139</f>
        <v>6668.6889746882025</v>
      </c>
      <c r="D159" s="1552">
        <f>'Input data'!D139</f>
        <v>11894410.388966125</v>
      </c>
      <c r="E159" s="1508">
        <f>'Input data'!J139*C159</f>
        <v>80231.30132550007</v>
      </c>
      <c r="F159" s="1509">
        <f>'Input data'!L139</f>
        <v>92125.71171446619</v>
      </c>
      <c r="G159" s="1509">
        <f t="shared" si="132"/>
        <v>13687.941669523079</v>
      </c>
      <c r="H159" s="1509">
        <f t="shared" si="121"/>
        <v>43511.68658461461</v>
      </c>
      <c r="I159" s="1511">
        <f t="shared" si="96"/>
        <v>11894.410388966124</v>
      </c>
      <c r="J159" s="1454">
        <f t="shared" si="131"/>
        <v>0.4</v>
      </c>
      <c r="K159" s="1512">
        <f t="shared" si="123"/>
        <v>4025.6900942227339</v>
      </c>
      <c r="L159" s="1512">
        <f t="shared" si="97"/>
        <v>0</v>
      </c>
      <c r="M159" s="1511">
        <f t="shared" si="124"/>
        <v>4025.6900942227339</v>
      </c>
      <c r="N159" s="1454">
        <f t="shared" si="130"/>
        <v>0.5</v>
      </c>
      <c r="O159" s="530">
        <f t="shared" si="98"/>
        <v>751.91700000000026</v>
      </c>
      <c r="P159" s="1481">
        <f t="shared" si="127"/>
        <v>4777.6070942227343</v>
      </c>
      <c r="Q159" s="1364">
        <f t="shared" si="99"/>
        <v>52422.021159914962</v>
      </c>
      <c r="R159" s="1364">
        <f t="shared" si="125"/>
        <v>38734.079490391887</v>
      </c>
      <c r="S159" s="1514">
        <f t="shared" si="100"/>
        <v>0.85533308608416481</v>
      </c>
      <c r="T159" s="135" t="str">
        <f t="shared" si="101"/>
        <v>Yes</v>
      </c>
      <c r="U159" s="1514">
        <f t="shared" si="102"/>
        <v>0.85533308608416481</v>
      </c>
      <c r="V159" s="1539">
        <f t="shared" si="95"/>
        <v>53391.632224074317</v>
      </c>
      <c r="W159" s="1540">
        <f t="shared" si="103"/>
        <v>0.42044808956748159</v>
      </c>
      <c r="X159" s="527">
        <f t="shared" si="104"/>
        <v>13687.941669523076</v>
      </c>
      <c r="Y159" s="1509">
        <f t="shared" si="105"/>
        <v>11182.537632279847</v>
      </c>
      <c r="Z159" s="1509">
        <f t="shared" si="106"/>
        <v>4377.5291467721845</v>
      </c>
      <c r="AA159" s="1509">
        <f t="shared" si="107"/>
        <v>0</v>
      </c>
      <c r="AB159" s="1509">
        <f t="shared" si="108"/>
        <v>24143.623775499214</v>
      </c>
      <c r="AC159" s="1509">
        <f t="shared" si="109"/>
        <v>53391.632224074317</v>
      </c>
      <c r="AD159" s="1554">
        <f t="shared" si="110"/>
        <v>0</v>
      </c>
      <c r="AE159" s="1504">
        <f t="shared" si="111"/>
        <v>0.25636866863476737</v>
      </c>
      <c r="AF159" s="1504">
        <f t="shared" si="112"/>
        <v>0.20944363688581213</v>
      </c>
      <c r="AG159" s="1504">
        <f t="shared" si="113"/>
        <v>8.1989048928126876E-2</v>
      </c>
      <c r="AH159" s="1504">
        <f t="shared" si="126"/>
        <v>0</v>
      </c>
      <c r="AI159" s="1504">
        <f t="shared" si="114"/>
        <v>0.45219864555129374</v>
      </c>
      <c r="AJ159" s="1541">
        <f t="shared" si="115"/>
        <v>1</v>
      </c>
      <c r="AK159" s="1555">
        <f t="shared" si="116"/>
        <v>7136.6462333796744</v>
      </c>
      <c r="AL159" s="1556">
        <f t="shared" si="117"/>
        <v>6194.6995957233803</v>
      </c>
      <c r="AM159" s="1556">
        <f t="shared" si="118"/>
        <v>356.5958404200191</v>
      </c>
      <c r="AN159" s="1556">
        <f t="shared" si="119"/>
        <v>13687.941669523074</v>
      </c>
      <c r="AO159" s="1543">
        <f t="shared" si="120"/>
        <v>0</v>
      </c>
    </row>
    <row r="160" spans="1:41">
      <c r="A160" s="873">
        <f>'Input data'!A140</f>
        <v>2040</v>
      </c>
      <c r="B160" s="1551">
        <f>'Input data'!B140</f>
        <v>71.375305999999995</v>
      </c>
      <c r="C160" s="1550">
        <f>'Input data'!C140</f>
        <v>6840.2471934556306</v>
      </c>
      <c r="D160" s="1552">
        <f>'Input data'!D140</f>
        <v>8950966.9774414804</v>
      </c>
      <c r="E160" s="1508">
        <f>'Input data'!J140*C160</f>
        <v>82295.326083145788</v>
      </c>
      <c r="F160" s="1509">
        <f>'Input data'!L140</f>
        <v>91246.293060587268</v>
      </c>
      <c r="G160" s="1509">
        <f t="shared" si="132"/>
        <v>13687.941669523079</v>
      </c>
      <c r="H160" s="1509">
        <f t="shared" si="121"/>
        <v>41933.757560007813</v>
      </c>
      <c r="I160" s="1511">
        <f t="shared" si="96"/>
        <v>8950.9669774414797</v>
      </c>
      <c r="J160" s="1454">
        <f t="shared" si="131"/>
        <v>0.4</v>
      </c>
      <c r="K160" s="1512">
        <f t="shared" si="123"/>
        <v>3029.4750152750594</v>
      </c>
      <c r="L160" s="1512">
        <f t="shared" si="97"/>
        <v>0</v>
      </c>
      <c r="M160" s="1511">
        <f t="shared" si="124"/>
        <v>3029.4750152750594</v>
      </c>
      <c r="N160" s="1454">
        <f t="shared" si="130"/>
        <v>0.5</v>
      </c>
      <c r="O160" s="530">
        <f t="shared" si="98"/>
        <v>751.91700000000026</v>
      </c>
      <c r="P160" s="1481">
        <f t="shared" si="127"/>
        <v>3781.3920152750597</v>
      </c>
      <c r="Q160" s="1364">
        <f t="shared" si="99"/>
        <v>51840.30721425583</v>
      </c>
      <c r="R160" s="1364">
        <f t="shared" si="125"/>
        <v>38152.365544732747</v>
      </c>
      <c r="S160" s="1514">
        <f t="shared" si="100"/>
        <v>0.82101548653203738</v>
      </c>
      <c r="T160" s="135" t="str">
        <f t="shared" si="101"/>
        <v>Yes</v>
      </c>
      <c r="U160" s="1514">
        <f t="shared" si="102"/>
        <v>0.82101548653203738</v>
      </c>
      <c r="V160" s="1539">
        <f t="shared" si="95"/>
        <v>53093.927515854528</v>
      </c>
      <c r="W160" s="1540">
        <f t="shared" si="103"/>
        <v>0.41812510147014614</v>
      </c>
      <c r="X160" s="527">
        <f t="shared" si="104"/>
        <v>13687.941669523081</v>
      </c>
      <c r="Y160" s="1509">
        <f t="shared" si="105"/>
        <v>10170.443533665652</v>
      </c>
      <c r="Z160" s="1509">
        <f t="shared" si="106"/>
        <v>4470.8013872684305</v>
      </c>
      <c r="AA160" s="1509">
        <f t="shared" si="107"/>
        <v>0</v>
      </c>
      <c r="AB160" s="1509">
        <f t="shared" si="108"/>
        <v>24764.740925397364</v>
      </c>
      <c r="AC160" s="1509">
        <f t="shared" si="109"/>
        <v>53093.927515854528</v>
      </c>
      <c r="AD160" s="1554">
        <f t="shared" si="110"/>
        <v>0</v>
      </c>
      <c r="AE160" s="1504">
        <f t="shared" si="111"/>
        <v>0.25780616183339772</v>
      </c>
      <c r="AF160" s="1504">
        <f t="shared" si="112"/>
        <v>0.19155568272150569</v>
      </c>
      <c r="AG160" s="1504">
        <f t="shared" si="113"/>
        <v>8.4205512691322218E-2</v>
      </c>
      <c r="AH160" s="1504">
        <f t="shared" si="126"/>
        <v>0</v>
      </c>
      <c r="AI160" s="1504">
        <f t="shared" si="114"/>
        <v>0.46643264275377433</v>
      </c>
      <c r="AJ160" s="1541">
        <f t="shared" si="115"/>
        <v>1</v>
      </c>
      <c r="AK160" s="1555">
        <f t="shared" si="116"/>
        <v>5370.5801864648884</v>
      </c>
      <c r="AL160" s="1556">
        <f t="shared" si="117"/>
        <v>7861.3625074023694</v>
      </c>
      <c r="AM160" s="1556">
        <f t="shared" si="118"/>
        <v>455.99897565582518</v>
      </c>
      <c r="AN160" s="1556">
        <f t="shared" si="119"/>
        <v>13687.941669523083</v>
      </c>
      <c r="AO160" s="1543">
        <f t="shared" si="120"/>
        <v>0</v>
      </c>
    </row>
    <row r="161" spans="1:41">
      <c r="A161" s="873">
        <f>'Input data'!A141</f>
        <v>2041</v>
      </c>
      <c r="B161" s="1551">
        <f>'Input data'!B141</f>
        <v>71.818612994947316</v>
      </c>
      <c r="C161" s="1550">
        <f>'Input data'!C141</f>
        <v>7028.9784058300729</v>
      </c>
      <c r="D161" s="1552">
        <f>'Input data'!D141</f>
        <v>7408427.529416549</v>
      </c>
      <c r="E161" s="1508">
        <f>'Input data'!J141*C161</f>
        <v>84565.959910426493</v>
      </c>
      <c r="F161" s="1509">
        <f>'Input data'!L141</f>
        <v>91974.387439843034</v>
      </c>
      <c r="G161" s="1509">
        <f t="shared" si="132"/>
        <v>13687.941669523079</v>
      </c>
      <c r="H161" s="1509">
        <f t="shared" si="121"/>
        <v>41789.063783117614</v>
      </c>
      <c r="I161" s="1511">
        <f t="shared" si="96"/>
        <v>7408.4275294165491</v>
      </c>
      <c r="J161" s="1454">
        <f t="shared" si="131"/>
        <v>0.4</v>
      </c>
      <c r="K161" s="1512">
        <f t="shared" si="123"/>
        <v>2507.3990507848575</v>
      </c>
      <c r="L161" s="1512">
        <f t="shared" si="97"/>
        <v>0</v>
      </c>
      <c r="M161" s="1511">
        <f t="shared" si="124"/>
        <v>2507.3990507848575</v>
      </c>
      <c r="N161" s="1454">
        <f t="shared" si="130"/>
        <v>0.5</v>
      </c>
      <c r="O161" s="530">
        <f t="shared" si="98"/>
        <v>751.91700000000026</v>
      </c>
      <c r="P161" s="1481">
        <f t="shared" si="127"/>
        <v>3259.3160507848579</v>
      </c>
      <c r="Q161" s="1364">
        <f t="shared" si="99"/>
        <v>52217.689401855838</v>
      </c>
      <c r="R161" s="1364">
        <f t="shared" si="125"/>
        <v>38529.747732332762</v>
      </c>
      <c r="S161" s="1514">
        <f t="shared" si="100"/>
        <v>0.80652342996718251</v>
      </c>
      <c r="T161" s="135" t="str">
        <f t="shared" si="101"/>
        <v>Yes</v>
      </c>
      <c r="U161" s="1514">
        <f t="shared" si="102"/>
        <v>0.80652342996718251</v>
      </c>
      <c r="V161" s="1539">
        <f t="shared" si="95"/>
        <v>53444.639707510287</v>
      </c>
      <c r="W161" s="1540">
        <f t="shared" si="103"/>
        <v>0.41891823152976793</v>
      </c>
      <c r="X161" s="527">
        <f t="shared" si="104"/>
        <v>13687.941669523074</v>
      </c>
      <c r="Y161" s="1509">
        <f t="shared" si="105"/>
        <v>9735.2558907040348</v>
      </c>
      <c r="Z161" s="1509">
        <f t="shared" si="106"/>
        <v>4573.4101876873783</v>
      </c>
      <c r="AA161" s="1509">
        <f t="shared" si="107"/>
        <v>0</v>
      </c>
      <c r="AB161" s="1509">
        <f t="shared" si="108"/>
        <v>25448.031959595799</v>
      </c>
      <c r="AC161" s="1509">
        <f t="shared" si="109"/>
        <v>53444.639707510287</v>
      </c>
      <c r="AD161" s="1554">
        <f t="shared" si="110"/>
        <v>0</v>
      </c>
      <c r="AE161" s="1504">
        <f t="shared" si="111"/>
        <v>0.25611439696167659</v>
      </c>
      <c r="AF161" s="1504">
        <f t="shared" si="112"/>
        <v>0.1821558896080647</v>
      </c>
      <c r="AG161" s="1504">
        <f t="shared" si="113"/>
        <v>8.5572850948505905E-2</v>
      </c>
      <c r="AH161" s="1504">
        <f t="shared" si="126"/>
        <v>0</v>
      </c>
      <c r="AI161" s="1504">
        <f t="shared" si="114"/>
        <v>0.47615686248175276</v>
      </c>
      <c r="AJ161" s="1541">
        <f t="shared" si="115"/>
        <v>1</v>
      </c>
      <c r="AK161" s="1555">
        <f t="shared" si="116"/>
        <v>4445.0565176499294</v>
      </c>
      <c r="AL161" s="1556">
        <f t="shared" si="117"/>
        <v>8732.3505118325393</v>
      </c>
      <c r="AM161" s="1556">
        <f t="shared" si="118"/>
        <v>510.5346400406039</v>
      </c>
      <c r="AN161" s="1556">
        <f t="shared" si="119"/>
        <v>13687.941669523072</v>
      </c>
      <c r="AO161" s="1543">
        <f t="shared" si="120"/>
        <v>0</v>
      </c>
    </row>
    <row r="162" spans="1:41">
      <c r="A162" s="873">
        <f>'Input data'!A142</f>
        <v>2042</v>
      </c>
      <c r="B162" s="1551">
        <f>'Input data'!B142</f>
        <v>72.264673338395411</v>
      </c>
      <c r="C162" s="1550">
        <f>'Input data'!C142</f>
        <v>7212.2527913428794</v>
      </c>
      <c r="D162" s="1552">
        <f>'Input data'!D142</f>
        <v>5865888.0813916186</v>
      </c>
      <c r="E162" s="1508">
        <f>'Input data'!J142*C162</f>
        <v>86770.942404757225</v>
      </c>
      <c r="F162" s="1509">
        <f>'Input data'!L142</f>
        <v>92636.830486148843</v>
      </c>
      <c r="G162" s="1509">
        <f t="shared" si="132"/>
        <v>13687.941669523079</v>
      </c>
      <c r="H162" s="1509">
        <f t="shared" si="121"/>
        <v>41606.698803960346</v>
      </c>
      <c r="I162" s="1511">
        <f t="shared" si="96"/>
        <v>5865.8880813916185</v>
      </c>
      <c r="J162" s="1454">
        <f t="shared" si="131"/>
        <v>0.4</v>
      </c>
      <c r="K162" s="1512">
        <f t="shared" si="123"/>
        <v>1985.3230862946555</v>
      </c>
      <c r="L162" s="1512">
        <f t="shared" si="97"/>
        <v>0</v>
      </c>
      <c r="M162" s="1511">
        <f t="shared" si="124"/>
        <v>1985.3230862946555</v>
      </c>
      <c r="N162" s="1454">
        <f t="shared" si="130"/>
        <v>0.5</v>
      </c>
      <c r="O162" s="530">
        <f t="shared" si="98"/>
        <v>751.91700000000026</v>
      </c>
      <c r="P162" s="1481">
        <f t="shared" si="127"/>
        <v>2737.2400862946556</v>
      </c>
      <c r="Q162" s="1364">
        <f t="shared" si="99"/>
        <v>52557.400387188776</v>
      </c>
      <c r="R162" s="1364">
        <f t="shared" si="125"/>
        <v>38869.458717665693</v>
      </c>
      <c r="S162" s="1514">
        <f t="shared" si="100"/>
        <v>0.79264170056466809</v>
      </c>
      <c r="T162" s="135" t="str">
        <f t="shared" si="101"/>
        <v>Yes</v>
      </c>
      <c r="U162" s="1514">
        <f t="shared" si="102"/>
        <v>0.79264170056466809</v>
      </c>
      <c r="V162" s="1539">
        <f t="shared" si="95"/>
        <v>53767.371768483164</v>
      </c>
      <c r="W162" s="1540">
        <f t="shared" si="103"/>
        <v>0.41958968710050459</v>
      </c>
      <c r="X162" s="527">
        <f t="shared" si="104"/>
        <v>13687.941669523081</v>
      </c>
      <c r="Y162" s="1509">
        <f t="shared" si="105"/>
        <v>9294.8110110320795</v>
      </c>
      <c r="Z162" s="1509">
        <f t="shared" si="106"/>
        <v>4673.052237396033</v>
      </c>
      <c r="AA162" s="1509">
        <f t="shared" si="107"/>
        <v>0</v>
      </c>
      <c r="AB162" s="1509">
        <f t="shared" si="108"/>
        <v>26111.566850531974</v>
      </c>
      <c r="AC162" s="1509">
        <f t="shared" si="109"/>
        <v>53767.371768483164</v>
      </c>
      <c r="AD162" s="1554">
        <f t="shared" si="110"/>
        <v>0</v>
      </c>
      <c r="AE162" s="1504">
        <f t="shared" si="111"/>
        <v>0.25457710167537972</v>
      </c>
      <c r="AF162" s="1504">
        <f t="shared" si="112"/>
        <v>0.17287084537169847</v>
      </c>
      <c r="AG162" s="1504">
        <f t="shared" si="113"/>
        <v>8.691241702342678E-2</v>
      </c>
      <c r="AH162" s="1504">
        <f t="shared" si="126"/>
        <v>0</v>
      </c>
      <c r="AI162" s="1504">
        <f t="shared" si="114"/>
        <v>0.48563963592949505</v>
      </c>
      <c r="AJ162" s="1541">
        <f t="shared" si="115"/>
        <v>1</v>
      </c>
      <c r="AK162" s="1555">
        <f t="shared" si="116"/>
        <v>3519.5328488349705</v>
      </c>
      <c r="AL162" s="1556">
        <f t="shared" si="117"/>
        <v>9602.9116676572321</v>
      </c>
      <c r="AM162" s="1556">
        <f t="shared" si="118"/>
        <v>565.49715303087601</v>
      </c>
      <c r="AN162" s="1556">
        <f t="shared" si="119"/>
        <v>13687.941669523079</v>
      </c>
      <c r="AO162" s="1543">
        <f t="shared" si="120"/>
        <v>0</v>
      </c>
    </row>
    <row r="163" spans="1:41">
      <c r="A163" s="873">
        <f>'Input data'!A143</f>
        <v>2043</v>
      </c>
      <c r="B163" s="1551">
        <f>'Input data'!B143</f>
        <v>72.713504131197794</v>
      </c>
      <c r="C163" s="1550">
        <f>'Input data'!C143</f>
        <v>7399.5467373897327</v>
      </c>
      <c r="D163" s="1552">
        <f>'Input data'!D143</f>
        <v>4323348.6333666872</v>
      </c>
      <c r="E163" s="1508">
        <f>'Input data'!J143*C163</f>
        <v>89024.284415272807</v>
      </c>
      <c r="F163" s="1509">
        <f>'Input data'!L143</f>
        <v>93347.633048639487</v>
      </c>
      <c r="G163" s="1509">
        <f t="shared" si="132"/>
        <v>13687.941669523079</v>
      </c>
      <c r="H163" s="1509">
        <f t="shared" si="121"/>
        <v>41452.082859497095</v>
      </c>
      <c r="I163" s="1511">
        <f t="shared" si="96"/>
        <v>4323.348633366687</v>
      </c>
      <c r="J163" s="1454">
        <f t="shared" si="131"/>
        <v>0.4</v>
      </c>
      <c r="K163" s="1512">
        <f t="shared" si="123"/>
        <v>1463.2471218044532</v>
      </c>
      <c r="L163" s="1512">
        <f t="shared" si="97"/>
        <v>0</v>
      </c>
      <c r="M163" s="1511">
        <f t="shared" si="124"/>
        <v>1463.2471218044532</v>
      </c>
      <c r="N163" s="1454">
        <f t="shared" si="130"/>
        <v>0.5</v>
      </c>
      <c r="O163" s="530">
        <f t="shared" si="98"/>
        <v>751.91700000000026</v>
      </c>
      <c r="P163" s="1481">
        <f t="shared" si="127"/>
        <v>2215.1641218044533</v>
      </c>
      <c r="Q163" s="1364">
        <f t="shared" si="99"/>
        <v>52924.860407215718</v>
      </c>
      <c r="R163" s="1364">
        <f t="shared" si="125"/>
        <v>39236.918737692642</v>
      </c>
      <c r="S163" s="1514">
        <f t="shared" si="100"/>
        <v>0.77957987558317743</v>
      </c>
      <c r="T163" s="135" t="str">
        <f t="shared" si="101"/>
        <v>Yes</v>
      </c>
      <c r="U163" s="1514">
        <f t="shared" si="102"/>
        <v>0.77957987558317743</v>
      </c>
      <c r="V163" s="1539">
        <f t="shared" si="95"/>
        <v>54110.71431094686</v>
      </c>
      <c r="W163" s="1540">
        <f t="shared" si="103"/>
        <v>0.42033115844777702</v>
      </c>
      <c r="X163" s="527">
        <f t="shared" si="104"/>
        <v>13687.941669523076</v>
      </c>
      <c r="Y163" s="1509">
        <f t="shared" si="105"/>
        <v>8858.2386715258344</v>
      </c>
      <c r="Z163" s="1509">
        <f t="shared" si="106"/>
        <v>4774.8796293139649</v>
      </c>
      <c r="AA163" s="1509">
        <f t="shared" si="107"/>
        <v>0</v>
      </c>
      <c r="AB163" s="1509">
        <f t="shared" si="108"/>
        <v>26789.654340583988</v>
      </c>
      <c r="AC163" s="1509">
        <f t="shared" si="109"/>
        <v>54110.71431094686</v>
      </c>
      <c r="AD163" s="1554">
        <f t="shared" si="110"/>
        <v>0</v>
      </c>
      <c r="AE163" s="1504">
        <f t="shared" si="111"/>
        <v>0.25296176263476045</v>
      </c>
      <c r="AF163" s="1504">
        <f t="shared" si="112"/>
        <v>0.16370581657122515</v>
      </c>
      <c r="AG163" s="1504">
        <f t="shared" si="113"/>
        <v>8.8242775762950587E-2</v>
      </c>
      <c r="AH163" s="1504">
        <f t="shared" si="126"/>
        <v>0</v>
      </c>
      <c r="AI163" s="1504">
        <f t="shared" si="114"/>
        <v>0.49508964503106384</v>
      </c>
      <c r="AJ163" s="1541">
        <f t="shared" si="115"/>
        <v>1</v>
      </c>
      <c r="AK163" s="1555">
        <f t="shared" si="116"/>
        <v>2594.0091800200125</v>
      </c>
      <c r="AL163" s="1556">
        <f t="shared" si="117"/>
        <v>10472.899401421837</v>
      </c>
      <c r="AM163" s="1556">
        <f t="shared" si="118"/>
        <v>621.03308808122574</v>
      </c>
      <c r="AN163" s="1556">
        <f t="shared" si="119"/>
        <v>13687.941669523076</v>
      </c>
      <c r="AO163" s="1543">
        <f t="shared" si="120"/>
        <v>0</v>
      </c>
    </row>
    <row r="164" spans="1:41">
      <c r="A164" s="873">
        <f>'Input data'!A144</f>
        <v>2044</v>
      </c>
      <c r="B164" s="1551">
        <f>'Input data'!B144</f>
        <v>73.165122580420132</v>
      </c>
      <c r="C164" s="1550">
        <f>'Input data'!C144</f>
        <v>7593.410855692503</v>
      </c>
      <c r="D164" s="1552">
        <f>'Input data'!D144</f>
        <v>2780809.1853417563</v>
      </c>
      <c r="E164" s="1508">
        <f>'Input data'!J144*C164</f>
        <v>91356.672467975353</v>
      </c>
      <c r="F164" s="1509">
        <f>'Input data'!L144</f>
        <v>94137.481653317111</v>
      </c>
      <c r="G164" s="1509">
        <f t="shared" si="132"/>
        <v>13687.941669523079</v>
      </c>
      <c r="H164" s="1509">
        <f t="shared" si="121"/>
        <v>41342.824096827942</v>
      </c>
      <c r="I164" s="1511">
        <f t="shared" si="96"/>
        <v>2780.8091853417563</v>
      </c>
      <c r="J164" s="1454">
        <f t="shared" si="131"/>
        <v>0.4</v>
      </c>
      <c r="K164" s="1512">
        <f t="shared" si="123"/>
        <v>941.1711573142511</v>
      </c>
      <c r="L164" s="1512">
        <f t="shared" si="97"/>
        <v>0</v>
      </c>
      <c r="M164" s="1511">
        <f t="shared" si="124"/>
        <v>941.1711573142511</v>
      </c>
      <c r="N164" s="1454">
        <f t="shared" si="130"/>
        <v>0.5</v>
      </c>
      <c r="O164" s="530">
        <f t="shared" si="98"/>
        <v>751.91700000000026</v>
      </c>
      <c r="P164" s="1481">
        <f t="shared" si="127"/>
        <v>1693.0881573142515</v>
      </c>
      <c r="Q164" s="1364">
        <f t="shared" si="99"/>
        <v>53337.677609036771</v>
      </c>
      <c r="R164" s="1364">
        <f t="shared" si="125"/>
        <v>39649.735939513688</v>
      </c>
      <c r="S164" s="1514">
        <f t="shared" si="100"/>
        <v>0.76737673514305982</v>
      </c>
      <c r="T164" s="135" t="str">
        <f t="shared" si="101"/>
        <v>Yes</v>
      </c>
      <c r="U164" s="1514">
        <f t="shared" si="102"/>
        <v>0.76737673514305982</v>
      </c>
      <c r="V164" s="1539">
        <f t="shared" si="95"/>
        <v>54487.74571380343</v>
      </c>
      <c r="W164" s="1540">
        <f t="shared" si="103"/>
        <v>0.42118968176281724</v>
      </c>
      <c r="X164" s="527">
        <f t="shared" si="104"/>
        <v>13687.941669523083</v>
      </c>
      <c r="Y164" s="1509">
        <f t="shared" si="105"/>
        <v>8427.9961921476224</v>
      </c>
      <c r="Z164" s="1509">
        <f t="shared" si="106"/>
        <v>4880.2790721144393</v>
      </c>
      <c r="AA164" s="1509">
        <f t="shared" si="107"/>
        <v>0</v>
      </c>
      <c r="AB164" s="1509">
        <f t="shared" si="108"/>
        <v>27491.528780018285</v>
      </c>
      <c r="AC164" s="1509">
        <f t="shared" si="109"/>
        <v>54487.74571380343</v>
      </c>
      <c r="AD164" s="1554">
        <f t="shared" si="110"/>
        <v>0</v>
      </c>
      <c r="AE164" s="1504">
        <f t="shared" si="111"/>
        <v>0.25121137771819224</v>
      </c>
      <c r="AF164" s="1504">
        <f t="shared" si="112"/>
        <v>0.15467691095931227</v>
      </c>
      <c r="AG164" s="1504">
        <f t="shared" si="113"/>
        <v>8.9566543966565937E-2</v>
      </c>
      <c r="AH164" s="1504">
        <f t="shared" si="126"/>
        <v>0</v>
      </c>
      <c r="AI164" s="1504">
        <f t="shared" si="114"/>
        <v>0.50454516735592958</v>
      </c>
      <c r="AJ164" s="1541">
        <f t="shared" si="115"/>
        <v>1</v>
      </c>
      <c r="AK164" s="1555">
        <f t="shared" si="116"/>
        <v>1668.4855112050541</v>
      </c>
      <c r="AL164" s="1556">
        <f t="shared" si="117"/>
        <v>11342.28659121322</v>
      </c>
      <c r="AM164" s="1556">
        <f t="shared" si="118"/>
        <v>677.16956710480747</v>
      </c>
      <c r="AN164" s="1556">
        <f t="shared" si="119"/>
        <v>13687.941669523081</v>
      </c>
      <c r="AO164" s="1543">
        <f t="shared" si="120"/>
        <v>0</v>
      </c>
    </row>
    <row r="165" spans="1:41">
      <c r="A165" s="873">
        <f>'Input data'!A145</f>
        <v>2045</v>
      </c>
      <c r="B165" s="1551">
        <f>'Input data'!B145</f>
        <v>73.619545999999971</v>
      </c>
      <c r="C165" s="1550">
        <f>'Input data'!C145</f>
        <v>7794.8943128616638</v>
      </c>
      <c r="D165" s="1552">
        <f>'Input data'!D145</f>
        <v>1238269.7373168254</v>
      </c>
      <c r="E165" s="1508">
        <f>'Input data'!J145*C165</f>
        <v>93780.729134225592</v>
      </c>
      <c r="F165" s="1509">
        <f>'Input data'!L145</f>
        <v>95018.998871542412</v>
      </c>
      <c r="G165" s="1509">
        <f t="shared" si="132"/>
        <v>13687.941669523079</v>
      </c>
      <c r="H165" s="1509">
        <f t="shared" si="121"/>
        <v>41286.165437269112</v>
      </c>
      <c r="I165" s="1511">
        <f t="shared" si="96"/>
        <v>1238.2697373168255</v>
      </c>
      <c r="J165" s="1454">
        <f t="shared" si="131"/>
        <v>0.4</v>
      </c>
      <c r="K165" s="1512">
        <f t="shared" si="123"/>
        <v>419.09519282404921</v>
      </c>
      <c r="L165" s="1512">
        <f t="shared" si="97"/>
        <v>0</v>
      </c>
      <c r="M165" s="1511">
        <f t="shared" si="124"/>
        <v>419.09519282404921</v>
      </c>
      <c r="N165" s="1454">
        <f t="shared" si="130"/>
        <v>0.5</v>
      </c>
      <c r="O165" s="530">
        <f t="shared" si="98"/>
        <v>751.91700000000026</v>
      </c>
      <c r="P165" s="1481">
        <f t="shared" si="127"/>
        <v>1171.0121928240494</v>
      </c>
      <c r="Q165" s="1364">
        <f t="shared" si="99"/>
        <v>53803.094913968147</v>
      </c>
      <c r="R165" s="1364">
        <f t="shared" si="125"/>
        <v>40115.153244445071</v>
      </c>
      <c r="S165" s="1514">
        <f t="shared" si="100"/>
        <v>0.75603190045395818</v>
      </c>
      <c r="T165" s="135" t="str">
        <f t="shared" si="101"/>
        <v>Yes</v>
      </c>
      <c r="U165" s="1514">
        <f t="shared" si="102"/>
        <v>0.75603190045395818</v>
      </c>
      <c r="V165" s="1539">
        <f t="shared" si="95"/>
        <v>54903.845627097355</v>
      </c>
      <c r="W165" s="1540">
        <f t="shared" si="103"/>
        <v>0.42218033994103987</v>
      </c>
      <c r="X165" s="527">
        <f t="shared" si="104"/>
        <v>13687.941669523074</v>
      </c>
      <c r="Y165" s="1509">
        <f t="shared" si="105"/>
        <v>8005.094364949251</v>
      </c>
      <c r="Z165" s="1509">
        <f t="shared" si="106"/>
        <v>4989.8209734474995</v>
      </c>
      <c r="AA165" s="1509">
        <f t="shared" si="107"/>
        <v>0</v>
      </c>
      <c r="AB165" s="1509">
        <f t="shared" si="108"/>
        <v>28220.988619177533</v>
      </c>
      <c r="AC165" s="1509">
        <f t="shared" si="109"/>
        <v>54903.845627097355</v>
      </c>
      <c r="AD165" s="1554">
        <f t="shared" si="110"/>
        <v>0</v>
      </c>
      <c r="AE165" s="1504">
        <f t="shared" si="111"/>
        <v>0.24930752141645066</v>
      </c>
      <c r="AF165" s="1504">
        <f t="shared" si="112"/>
        <v>0.14580207039265025</v>
      </c>
      <c r="AG165" s="1504">
        <f t="shared" si="113"/>
        <v>9.088290476659823E-2</v>
      </c>
      <c r="AH165" s="1504">
        <f t="shared" si="126"/>
        <v>0</v>
      </c>
      <c r="AI165" s="1504">
        <f t="shared" si="114"/>
        <v>0.5140075034243009</v>
      </c>
      <c r="AJ165" s="1541">
        <f t="shared" si="115"/>
        <v>1</v>
      </c>
      <c r="AK165" s="1555">
        <f t="shared" si="116"/>
        <v>742.96184239009517</v>
      </c>
      <c r="AL165" s="1556">
        <f t="shared" si="117"/>
        <v>12211.073501948513</v>
      </c>
      <c r="AM165" s="1556">
        <f t="shared" si="118"/>
        <v>733.90632518446398</v>
      </c>
      <c r="AN165" s="1556">
        <f t="shared" si="119"/>
        <v>13687.941669523072</v>
      </c>
      <c r="AO165" s="1543">
        <f t="shared" si="120"/>
        <v>0</v>
      </c>
    </row>
    <row r="166" spans="1:41">
      <c r="A166" s="873">
        <f>'Input data'!A146</f>
        <v>2046</v>
      </c>
      <c r="B166" s="1551">
        <f>'Input data'!B146</f>
        <v>73.995362001779526</v>
      </c>
      <c r="C166" s="1550">
        <f>'Input data'!C146</f>
        <v>8018.9246673642956</v>
      </c>
      <c r="D166" s="1552">
        <f>'Input data'!D146</f>
        <v>1037510.1997812246</v>
      </c>
      <c r="E166" s="1508">
        <f>'Input data'!J146*C166</f>
        <v>96476.048551037893</v>
      </c>
      <c r="F166" s="1509">
        <f>'Input data'!L146</f>
        <v>97513.558750819124</v>
      </c>
      <c r="G166" s="1509">
        <f t="shared" si="132"/>
        <v>13687.941669523079</v>
      </c>
      <c r="H166" s="1509">
        <f t="shared" si="121"/>
        <v>42644.35566660919</v>
      </c>
      <c r="I166" s="1511">
        <f t="shared" si="96"/>
        <v>1037.5101997812246</v>
      </c>
      <c r="J166" s="1454">
        <f t="shared" si="131"/>
        <v>0.4</v>
      </c>
      <c r="K166" s="1512">
        <f t="shared" si="123"/>
        <v>351.14767334653646</v>
      </c>
      <c r="L166" s="1512">
        <f t="shared" si="97"/>
        <v>0</v>
      </c>
      <c r="M166" s="1511">
        <f t="shared" si="124"/>
        <v>351.14767334653646</v>
      </c>
      <c r="N166" s="1454">
        <f t="shared" si="130"/>
        <v>0.5</v>
      </c>
      <c r="O166" s="530">
        <f t="shared" si="98"/>
        <v>751.91700000000026</v>
      </c>
      <c r="P166" s="1481">
        <f t="shared" si="127"/>
        <v>1103.0646733465367</v>
      </c>
      <c r="Q166" s="1364">
        <f t="shared" si="99"/>
        <v>55229.232662785733</v>
      </c>
      <c r="R166" s="1364">
        <f t="shared" si="125"/>
        <v>41541.29099326265</v>
      </c>
      <c r="S166" s="1514">
        <f t="shared" si="100"/>
        <v>0.76073578518965335</v>
      </c>
      <c r="T166" s="135" t="str">
        <f t="shared" si="101"/>
        <v>Yes</v>
      </c>
      <c r="U166" s="1514">
        <f t="shared" si="102"/>
        <v>0.76073578518965335</v>
      </c>
      <c r="V166" s="1539">
        <f t="shared" si="95"/>
        <v>55972.267757556481</v>
      </c>
      <c r="W166" s="1540">
        <f t="shared" si="103"/>
        <v>0.42600528096215839</v>
      </c>
      <c r="X166" s="527">
        <f t="shared" si="104"/>
        <v>13687.941669523087</v>
      </c>
      <c r="Y166" s="1509">
        <f t="shared" si="105"/>
        <v>8140.6267187900776</v>
      </c>
      <c r="Z166" s="1509">
        <f t="shared" si="106"/>
        <v>5111.6211020205074</v>
      </c>
      <c r="AA166" s="1509">
        <f t="shared" si="107"/>
        <v>0</v>
      </c>
      <c r="AB166" s="1509">
        <f t="shared" si="108"/>
        <v>29032.078267222809</v>
      </c>
      <c r="AC166" s="1509">
        <f t="shared" si="109"/>
        <v>55972.267757556481</v>
      </c>
      <c r="AD166" s="1535">
        <f t="shared" si="110"/>
        <v>0</v>
      </c>
      <c r="AE166" s="1504">
        <f t="shared" si="111"/>
        <v>0.24454863484917777</v>
      </c>
      <c r="AF166" s="1504">
        <f t="shared" si="112"/>
        <v>0.14544035903728522</v>
      </c>
      <c r="AG166" s="1504">
        <f t="shared" si="113"/>
        <v>9.1324173681178358E-2</v>
      </c>
      <c r="AH166" s="1504">
        <f t="shared" si="126"/>
        <v>0</v>
      </c>
      <c r="AI166" s="1504">
        <f t="shared" si="114"/>
        <v>0.51868683243235869</v>
      </c>
      <c r="AJ166" s="1541">
        <f t="shared" si="115"/>
        <v>1</v>
      </c>
      <c r="AK166" s="1555">
        <f t="shared" si="116"/>
        <v>622.50611986873469</v>
      </c>
      <c r="AL166" s="1556">
        <f t="shared" si="117"/>
        <v>12319.822579750786</v>
      </c>
      <c r="AM166" s="1556">
        <f t="shared" si="118"/>
        <v>745.61296990356493</v>
      </c>
      <c r="AN166" s="1556">
        <f t="shared" si="119"/>
        <v>13687.941669523085</v>
      </c>
      <c r="AO166" s="1543">
        <f t="shared" si="120"/>
        <v>0</v>
      </c>
    </row>
    <row r="167" spans="1:41">
      <c r="A167" s="873">
        <f>'Input data'!A147</f>
        <v>2047</v>
      </c>
      <c r="B167" s="1551">
        <f>'Input data'!B147</f>
        <v>74.373096484110363</v>
      </c>
      <c r="C167" s="1550">
        <f>'Input data'!C147</f>
        <v>8179.7504647675678</v>
      </c>
      <c r="D167" s="1552">
        <f>'Input data'!D147</f>
        <v>836750.66224562365</v>
      </c>
      <c r="E167" s="1508">
        <f>'Input data'!J147*C167</f>
        <v>98410.951057565282</v>
      </c>
      <c r="F167" s="1509">
        <f>'Input data'!L147</f>
        <v>99247.70171981091</v>
      </c>
      <c r="G167" s="1509">
        <f t="shared" si="132"/>
        <v>13687.941669523079</v>
      </c>
      <c r="H167" s="1509">
        <f t="shared" si="121"/>
        <v>43566.213258857504</v>
      </c>
      <c r="I167" s="1511">
        <f t="shared" si="96"/>
        <v>836.75066224562363</v>
      </c>
      <c r="J167" s="1454">
        <f t="shared" si="131"/>
        <v>0.4</v>
      </c>
      <c r="K167" s="1512">
        <f t="shared" si="123"/>
        <v>283.20015386902367</v>
      </c>
      <c r="L167" s="1512">
        <f t="shared" si="97"/>
        <v>0</v>
      </c>
      <c r="M167" s="1511">
        <f t="shared" si="124"/>
        <v>283.20015386902367</v>
      </c>
      <c r="N167" s="1454">
        <f t="shared" si="130"/>
        <v>0.5</v>
      </c>
      <c r="O167" s="530">
        <f t="shared" si="98"/>
        <v>751.91700000000026</v>
      </c>
      <c r="P167" s="1481">
        <f t="shared" si="127"/>
        <v>1035.1171538690239</v>
      </c>
      <c r="Q167" s="1364">
        <f t="shared" si="99"/>
        <v>56219.037774511555</v>
      </c>
      <c r="R167" s="1364">
        <f t="shared" si="125"/>
        <v>42531.096104988479</v>
      </c>
      <c r="S167" s="1514">
        <f t="shared" si="100"/>
        <v>0.76334163254526588</v>
      </c>
      <c r="T167" s="135" t="str">
        <f t="shared" si="101"/>
        <v>Yes</v>
      </c>
      <c r="U167" s="1514">
        <f t="shared" si="102"/>
        <v>0.76334163254526588</v>
      </c>
      <c r="V167" s="1539">
        <f t="shared" si="95"/>
        <v>56716.605614822438</v>
      </c>
      <c r="W167" s="1540">
        <f t="shared" si="103"/>
        <v>0.42853482113932728</v>
      </c>
      <c r="X167" s="527">
        <f t="shared" si="104"/>
        <v>13687.941669523076</v>
      </c>
      <c r="Y167" s="1509">
        <f t="shared" si="105"/>
        <v>8215.2662999135937</v>
      </c>
      <c r="Z167" s="1509">
        <f t="shared" si="106"/>
        <v>5199.0583729432956</v>
      </c>
      <c r="AA167" s="1509">
        <f t="shared" si="107"/>
        <v>0</v>
      </c>
      <c r="AB167" s="1509">
        <f t="shared" si="108"/>
        <v>29614.339272442474</v>
      </c>
      <c r="AC167" s="1509">
        <f t="shared" si="109"/>
        <v>56716.605614822438</v>
      </c>
      <c r="AD167" s="1535">
        <f t="shared" si="110"/>
        <v>0</v>
      </c>
      <c r="AE167" s="1504">
        <f t="shared" si="111"/>
        <v>0.24133922545509034</v>
      </c>
      <c r="AF167" s="1504">
        <f t="shared" si="112"/>
        <v>0.14484763696377836</v>
      </c>
      <c r="AG167" s="1504">
        <f t="shared" si="113"/>
        <v>9.1667304779335435E-2</v>
      </c>
      <c r="AH167" s="1504">
        <f t="shared" si="126"/>
        <v>0</v>
      </c>
      <c r="AI167" s="1504">
        <f t="shared" si="114"/>
        <v>0.52214583280179583</v>
      </c>
      <c r="AJ167" s="1541">
        <f t="shared" si="115"/>
        <v>1</v>
      </c>
      <c r="AK167" s="1555">
        <f t="shared" si="116"/>
        <v>502.0503973473742</v>
      </c>
      <c r="AL167" s="1556">
        <f t="shared" si="117"/>
        <v>12430.038976042559</v>
      </c>
      <c r="AM167" s="1556">
        <f t="shared" si="118"/>
        <v>755.85229613314323</v>
      </c>
      <c r="AN167" s="1556">
        <f t="shared" si="119"/>
        <v>13687.941669523076</v>
      </c>
      <c r="AO167" s="1543">
        <f t="shared" si="120"/>
        <v>0</v>
      </c>
    </row>
    <row r="168" spans="1:41">
      <c r="A168" s="873">
        <f>'Input data'!A148</f>
        <v>2048</v>
      </c>
      <c r="B168" s="1551">
        <f>'Input data'!B148</f>
        <v>74.752759240528661</v>
      </c>
      <c r="C168" s="1550">
        <f>'Input data'!C148</f>
        <v>8346.3110427603078</v>
      </c>
      <c r="D168" s="1552">
        <f>'Input data'!D148</f>
        <v>635991.12471002259</v>
      </c>
      <c r="E168" s="1508">
        <f>'Input data'!J148*C168</f>
        <v>100414.84897102432</v>
      </c>
      <c r="F168" s="1509">
        <f>'Input data'!L148</f>
        <v>101050.84009573434</v>
      </c>
      <c r="G168" s="1509">
        <f t="shared" si="132"/>
        <v>13687.941669523079</v>
      </c>
      <c r="H168" s="1509">
        <f t="shared" si="121"/>
        <v>44527.660906832505</v>
      </c>
      <c r="I168" s="1511">
        <f t="shared" si="96"/>
        <v>635.99112471002263</v>
      </c>
      <c r="J168" s="1454">
        <f t="shared" si="131"/>
        <v>0.4</v>
      </c>
      <c r="K168" s="1512">
        <f t="shared" si="123"/>
        <v>215.25263439151087</v>
      </c>
      <c r="L168" s="1512">
        <f t="shared" si="97"/>
        <v>0</v>
      </c>
      <c r="M168" s="1511">
        <f t="shared" si="124"/>
        <v>215.25263439151087</v>
      </c>
      <c r="N168" s="1454">
        <f t="shared" si="130"/>
        <v>0.5</v>
      </c>
      <c r="O168" s="530">
        <f t="shared" si="98"/>
        <v>751.91700000000026</v>
      </c>
      <c r="P168" s="1481">
        <f t="shared" si="127"/>
        <v>967.16963439151118</v>
      </c>
      <c r="Q168" s="1364">
        <f t="shared" si="99"/>
        <v>57248.432941964071</v>
      </c>
      <c r="R168" s="1364">
        <f t="shared" si="125"/>
        <v>43560.491272440995</v>
      </c>
      <c r="S168" s="1514">
        <f t="shared" si="100"/>
        <v>0.76600867218625601</v>
      </c>
      <c r="T168" s="135" t="str">
        <f t="shared" si="101"/>
        <v>Yes</v>
      </c>
      <c r="U168" s="1514">
        <f t="shared" si="102"/>
        <v>0.76600867218625601</v>
      </c>
      <c r="V168" s="1539">
        <f t="shared" si="95"/>
        <v>57490.34882329336</v>
      </c>
      <c r="W168" s="1540">
        <f t="shared" si="103"/>
        <v>0.43107500374239638</v>
      </c>
      <c r="X168" s="527">
        <f t="shared" si="104"/>
        <v>13687.941669523076</v>
      </c>
      <c r="Y168" s="1509">
        <f t="shared" si="105"/>
        <v>8295.4309049759559</v>
      </c>
      <c r="Z168" s="1509">
        <f t="shared" si="106"/>
        <v>5289.613511597383</v>
      </c>
      <c r="AA168" s="1509">
        <f t="shared" si="107"/>
        <v>0</v>
      </c>
      <c r="AB168" s="1509">
        <f t="shared" si="108"/>
        <v>30217.362737196945</v>
      </c>
      <c r="AC168" s="1509">
        <f t="shared" si="109"/>
        <v>57490.34882329336</v>
      </c>
      <c r="AD168" s="1535">
        <f t="shared" si="110"/>
        <v>0</v>
      </c>
      <c r="AE168" s="1504">
        <f t="shared" si="111"/>
        <v>0.23809112224375883</v>
      </c>
      <c r="AF168" s="1504">
        <f t="shared" si="112"/>
        <v>0.14429258257718028</v>
      </c>
      <c r="AG168" s="1504">
        <f t="shared" si="113"/>
        <v>9.2008721809219401E-2</v>
      </c>
      <c r="AH168" s="1504">
        <f t="shared" si="126"/>
        <v>0</v>
      </c>
      <c r="AI168" s="1504">
        <f t="shared" si="114"/>
        <v>0.52560757336984154</v>
      </c>
      <c r="AJ168" s="1541">
        <f t="shared" si="115"/>
        <v>1</v>
      </c>
      <c r="AK168" s="1555">
        <f t="shared" si="116"/>
        <v>381.59467482601355</v>
      </c>
      <c r="AL168" s="1556">
        <f t="shared" si="117"/>
        <v>12540.212575874844</v>
      </c>
      <c r="AM168" s="1556">
        <f t="shared" si="118"/>
        <v>766.1344188222148</v>
      </c>
      <c r="AN168" s="1556">
        <f t="shared" si="119"/>
        <v>13687.941669523074</v>
      </c>
      <c r="AO168" s="1543">
        <f t="shared" si="120"/>
        <v>0</v>
      </c>
    </row>
    <row r="169" spans="1:41">
      <c r="A169" s="127">
        <f>'Input data'!A149</f>
        <v>2049</v>
      </c>
      <c r="B169" s="662">
        <f>'Input data'!B149</f>
        <v>75.134360114565098</v>
      </c>
      <c r="C169" s="236">
        <f>'Input data'!C149</f>
        <v>8507.9647859669603</v>
      </c>
      <c r="D169" s="237">
        <f>'Input data'!D149</f>
        <v>435231.58717442153</v>
      </c>
      <c r="E169" s="527">
        <f>'Input data'!J149*C169</f>
        <v>102359.71253128871</v>
      </c>
      <c r="F169" s="528">
        <f>'Input data'!L149</f>
        <v>102794.94411846313</v>
      </c>
      <c r="G169" s="528">
        <f t="shared" si="132"/>
        <v>13687.941669523079</v>
      </c>
      <c r="H169" s="1509">
        <f t="shared" si="121"/>
        <v>45455.234222635205</v>
      </c>
      <c r="I169" s="1511">
        <f t="shared" si="96"/>
        <v>435.23158717442152</v>
      </c>
      <c r="J169" s="649">
        <f t="shared" si="131"/>
        <v>0.4</v>
      </c>
      <c r="K169" s="1512">
        <f t="shared" si="123"/>
        <v>147.30511491399807</v>
      </c>
      <c r="L169" s="1512">
        <f t="shared" si="97"/>
        <v>0</v>
      </c>
      <c r="M169" s="1511">
        <f t="shared" si="124"/>
        <v>147.30511491399807</v>
      </c>
      <c r="N169" s="649">
        <f t="shared" si="130"/>
        <v>0.5</v>
      </c>
      <c r="O169" s="530">
        <f t="shared" si="98"/>
        <v>751.91700000000026</v>
      </c>
      <c r="P169" s="1481">
        <f t="shared" si="127"/>
        <v>899.22211491399833</v>
      </c>
      <c r="Q169" s="1364">
        <f t="shared" si="99"/>
        <v>58243.953777244293</v>
      </c>
      <c r="R169" s="1364">
        <f t="shared" si="125"/>
        <v>44556.01210772121</v>
      </c>
      <c r="S169" s="1514">
        <f t="shared" si="100"/>
        <v>0.76843478955348543</v>
      </c>
      <c r="T169" s="135" t="str">
        <f t="shared" si="101"/>
        <v>Yes</v>
      </c>
      <c r="U169" s="1514">
        <f t="shared" si="102"/>
        <v>0.76843478955348543</v>
      </c>
      <c r="V169" s="1539">
        <f t="shared" si="95"/>
        <v>58238.932010741941</v>
      </c>
      <c r="W169" s="1540">
        <f t="shared" si="103"/>
        <v>0.43344555989420908</v>
      </c>
      <c r="X169" s="527">
        <f t="shared" si="104"/>
        <v>13687.941669523083</v>
      </c>
      <c r="Y169" s="1509">
        <f t="shared" si="105"/>
        <v>8370.8681487671874</v>
      </c>
      <c r="Z169" s="1509">
        <f t="shared" si="106"/>
        <v>5377.5009175276673</v>
      </c>
      <c r="AA169" s="1509">
        <f t="shared" si="107"/>
        <v>0</v>
      </c>
      <c r="AB169" s="1509">
        <f t="shared" si="108"/>
        <v>30802.621274924004</v>
      </c>
      <c r="AC169" s="1509">
        <f t="shared" si="109"/>
        <v>58238.932010741941</v>
      </c>
      <c r="AD169" s="1535">
        <f t="shared" si="110"/>
        <v>0</v>
      </c>
      <c r="AE169" s="1504">
        <f t="shared" si="111"/>
        <v>0.23503078090440252</v>
      </c>
      <c r="AF169" s="1504">
        <f t="shared" si="112"/>
        <v>0.14373320148149718</v>
      </c>
      <c r="AG169" s="1504">
        <f t="shared" si="113"/>
        <v>9.2335156773407326E-2</v>
      </c>
      <c r="AH169" s="1504">
        <f t="shared" si="126"/>
        <v>0</v>
      </c>
      <c r="AI169" s="1504">
        <f t="shared" si="114"/>
        <v>0.52890086084069299</v>
      </c>
      <c r="AJ169" s="1541">
        <f t="shared" si="115"/>
        <v>1</v>
      </c>
      <c r="AK169" s="1555">
        <f t="shared" si="116"/>
        <v>261.13895230465289</v>
      </c>
      <c r="AL169" s="1556">
        <f t="shared" si="117"/>
        <v>12650.554671135385</v>
      </c>
      <c r="AM169" s="1556">
        <f t="shared" si="118"/>
        <v>776.24804608304385</v>
      </c>
      <c r="AN169" s="1556">
        <f t="shared" si="119"/>
        <v>13687.941669523083</v>
      </c>
      <c r="AO169" s="1543">
        <f t="shared" si="120"/>
        <v>0</v>
      </c>
    </row>
    <row r="170" spans="1:41" ht="15.75" thickBot="1">
      <c r="A170" s="172">
        <f>'Input data'!A150</f>
        <v>2050</v>
      </c>
      <c r="B170" s="664">
        <f>'Input data'!B150</f>
        <v>75.517908999999989</v>
      </c>
      <c r="C170" s="239">
        <f>'Input data'!C150</f>
        <v>8670.5902188603068</v>
      </c>
      <c r="D170" s="240">
        <f>'Input data'!D150</f>
        <v>234472.04963882058</v>
      </c>
      <c r="E170" s="670">
        <f>'Input data'!J150*C170</f>
        <v>104316.26653450882</v>
      </c>
      <c r="F170" s="667">
        <f>'Input data'!L150</f>
        <v>104550.73858414764</v>
      </c>
      <c r="G170" s="667">
        <f t="shared" si="132"/>
        <v>13687.941669523079</v>
      </c>
      <c r="H170" s="667">
        <f t="shared" si="121"/>
        <v>46389.515597838807</v>
      </c>
      <c r="I170" s="659">
        <f t="shared" si="96"/>
        <v>234.47204963882058</v>
      </c>
      <c r="J170" s="650">
        <f t="shared" si="131"/>
        <v>0.4</v>
      </c>
      <c r="K170" s="1518">
        <f t="shared" si="123"/>
        <v>79.357595436485283</v>
      </c>
      <c r="L170" s="1518">
        <f t="shared" si="97"/>
        <v>0</v>
      </c>
      <c r="M170" s="1520">
        <f t="shared" si="124"/>
        <v>79.357595436485283</v>
      </c>
      <c r="N170" s="650">
        <f t="shared" si="130"/>
        <v>0.5</v>
      </c>
      <c r="O170" s="659">
        <f t="shared" si="98"/>
        <v>751.91700000000026</v>
      </c>
      <c r="P170" s="1482">
        <f t="shared" si="127"/>
        <v>831.27459543648558</v>
      </c>
      <c r="Q170" s="1485">
        <f t="shared" si="99"/>
        <v>59246.182671925395</v>
      </c>
      <c r="R170" s="1485">
        <f t="shared" si="125"/>
        <v>45558.241002402312</v>
      </c>
      <c r="S170" s="1523">
        <f t="shared" si="100"/>
        <v>0.77079529709412087</v>
      </c>
      <c r="T170" s="1105" t="str">
        <f t="shared" si="101"/>
        <v>Yes</v>
      </c>
      <c r="U170" s="1523">
        <f t="shared" si="102"/>
        <v>0.77079529709412087</v>
      </c>
      <c r="V170" s="1544">
        <f t="shared" si="95"/>
        <v>58992.497581745331</v>
      </c>
      <c r="W170" s="1545">
        <f t="shared" si="103"/>
        <v>0.43575245492632042</v>
      </c>
      <c r="X170" s="670">
        <f t="shared" si="104"/>
        <v>13687.941669523078</v>
      </c>
      <c r="Y170" s="1518">
        <f t="shared" si="105"/>
        <v>8447.2415415001888</v>
      </c>
      <c r="Z170" s="1518">
        <f t="shared" si="106"/>
        <v>5465.916608694276</v>
      </c>
      <c r="AA170" s="1518">
        <f t="shared" si="107"/>
        <v>0</v>
      </c>
      <c r="AB170" s="1518">
        <f t="shared" si="108"/>
        <v>31391.397762027791</v>
      </c>
      <c r="AC170" s="1518">
        <f t="shared" si="109"/>
        <v>58992.497581745331</v>
      </c>
      <c r="AD170" s="1546">
        <f t="shared" si="110"/>
        <v>0</v>
      </c>
      <c r="AE170" s="1521">
        <f t="shared" si="111"/>
        <v>0.23202851600842683</v>
      </c>
      <c r="AF170" s="1521">
        <f t="shared" si="112"/>
        <v>0.1431917936648627</v>
      </c>
      <c r="AG170" s="1521">
        <f t="shared" si="113"/>
        <v>9.2654436288618025E-2</v>
      </c>
      <c r="AH170" s="1521">
        <f t="shared" si="126"/>
        <v>0</v>
      </c>
      <c r="AI170" s="1521">
        <f>AB170/AC170</f>
        <v>0.53212525403809252</v>
      </c>
      <c r="AJ170" s="1547">
        <f t="shared" si="115"/>
        <v>1</v>
      </c>
      <c r="AK170" s="1639">
        <f t="shared" si="116"/>
        <v>140.68322978329235</v>
      </c>
      <c r="AL170" s="1640">
        <f t="shared" si="117"/>
        <v>12760.942652380865</v>
      </c>
      <c r="AM170" s="1640">
        <f t="shared" si="118"/>
        <v>786.31578735891821</v>
      </c>
      <c r="AN170" s="1640">
        <f t="shared" si="119"/>
        <v>13687.941669523076</v>
      </c>
      <c r="AO170" s="1548">
        <f t="shared" si="120"/>
        <v>0</v>
      </c>
    </row>
    <row r="172" spans="1:41" ht="23.25">
      <c r="A172" s="686" t="s">
        <v>653</v>
      </c>
    </row>
    <row r="173" spans="1:41" ht="24" thickBot="1">
      <c r="A173" s="686"/>
    </row>
    <row r="174" spans="1:41" ht="21.6" customHeight="1" thickBot="1">
      <c r="A174" s="1873" t="s">
        <v>602</v>
      </c>
      <c r="B174" s="1874"/>
      <c r="C174" s="1874"/>
      <c r="D174" s="1875"/>
      <c r="E174" s="1922" t="s">
        <v>603</v>
      </c>
      <c r="F174" s="1923"/>
      <c r="G174" s="1923"/>
      <c r="H174" s="1923"/>
      <c r="I174" s="1924"/>
      <c r="J174" s="1823" t="s">
        <v>604</v>
      </c>
      <c r="K174" s="1823"/>
      <c r="L174" s="1824"/>
      <c r="M174" s="1825" t="s">
        <v>757</v>
      </c>
      <c r="N174" s="1808" t="s">
        <v>607</v>
      </c>
      <c r="O174" s="1897"/>
      <c r="P174" s="1895" t="s">
        <v>594</v>
      </c>
      <c r="Q174" s="1814" t="s">
        <v>765</v>
      </c>
      <c r="R174" s="1814" t="s">
        <v>768</v>
      </c>
      <c r="S174" s="1814" t="s">
        <v>767</v>
      </c>
      <c r="T174" s="1838" t="s">
        <v>769</v>
      </c>
      <c r="U174" s="1836" t="s">
        <v>770</v>
      </c>
      <c r="V174" s="1812" t="s">
        <v>760</v>
      </c>
      <c r="W174" s="1834" t="s">
        <v>761</v>
      </c>
      <c r="X174" s="1929" t="s">
        <v>592</v>
      </c>
      <c r="Y174" s="1846"/>
      <c r="Z174" s="1846"/>
      <c r="AA174" s="1846"/>
      <c r="AB174" s="1846"/>
      <c r="AC174" s="1846"/>
      <c r="AD174" s="1846"/>
      <c r="AE174" s="1846"/>
      <c r="AF174" s="1846"/>
      <c r="AG174" s="1846"/>
      <c r="AH174" s="1846"/>
      <c r="AI174" s="1846"/>
      <c r="AJ174" s="1846"/>
      <c r="AK174" s="1913" t="s">
        <v>723</v>
      </c>
      <c r="AL174" s="1914"/>
      <c r="AM174" s="1914"/>
      <c r="AN174" s="1914"/>
      <c r="AO174" s="1915"/>
    </row>
    <row r="175" spans="1:41" ht="43.15" customHeight="1">
      <c r="A175" s="1868" t="s">
        <v>217</v>
      </c>
      <c r="B175" s="703" t="s">
        <v>218</v>
      </c>
      <c r="C175" s="703" t="s">
        <v>390</v>
      </c>
      <c r="D175" s="1562" t="s">
        <v>630</v>
      </c>
      <c r="E175" s="704" t="s">
        <v>779</v>
      </c>
      <c r="F175" s="704" t="s">
        <v>780</v>
      </c>
      <c r="G175" s="704" t="s">
        <v>764</v>
      </c>
      <c r="H175" s="704" t="s">
        <v>597</v>
      </c>
      <c r="I175" s="705" t="s">
        <v>626</v>
      </c>
      <c r="J175" s="1461" t="s">
        <v>326</v>
      </c>
      <c r="K175" s="1461" t="s">
        <v>758</v>
      </c>
      <c r="L175" s="706" t="s">
        <v>759</v>
      </c>
      <c r="M175" s="1826"/>
      <c r="N175" s="508" t="s">
        <v>605</v>
      </c>
      <c r="O175" s="559" t="s">
        <v>606</v>
      </c>
      <c r="P175" s="1896"/>
      <c r="Q175" s="1815"/>
      <c r="R175" s="1815"/>
      <c r="S175" s="1815"/>
      <c r="T175" s="1839"/>
      <c r="U175" s="1837"/>
      <c r="V175" s="1813"/>
      <c r="W175" s="1835"/>
      <c r="X175" s="1464" t="s">
        <v>473</v>
      </c>
      <c r="Y175" s="1465" t="s">
        <v>489</v>
      </c>
      <c r="Z175" s="1636" t="s">
        <v>807</v>
      </c>
      <c r="AA175" s="1465" t="s">
        <v>377</v>
      </c>
      <c r="AB175" s="1465" t="s">
        <v>477</v>
      </c>
      <c r="AC175" s="1465" t="s">
        <v>225</v>
      </c>
      <c r="AD175" s="713" t="s">
        <v>617</v>
      </c>
      <c r="AE175" s="1092" t="s">
        <v>473</v>
      </c>
      <c r="AF175" s="1465" t="s">
        <v>489</v>
      </c>
      <c r="AG175" s="1636" t="s">
        <v>807</v>
      </c>
      <c r="AH175" s="1465" t="s">
        <v>377</v>
      </c>
      <c r="AI175" s="1465" t="s">
        <v>477</v>
      </c>
      <c r="AJ175" s="718" t="s">
        <v>225</v>
      </c>
      <c r="AK175" s="189" t="s">
        <v>724</v>
      </c>
      <c r="AL175" s="712" t="s">
        <v>493</v>
      </c>
      <c r="AM175" s="712" t="s">
        <v>725</v>
      </c>
      <c r="AN175" s="712" t="s">
        <v>225</v>
      </c>
      <c r="AO175" s="1183" t="s">
        <v>617</v>
      </c>
    </row>
    <row r="176" spans="1:41" ht="36.6" customHeight="1" thickBot="1">
      <c r="A176" s="1869"/>
      <c r="B176" s="458" t="s">
        <v>232</v>
      </c>
      <c r="C176" s="459" t="s">
        <v>482</v>
      </c>
      <c r="D176" s="477" t="s">
        <v>480</v>
      </c>
      <c r="E176" s="1561" t="s">
        <v>228</v>
      </c>
      <c r="F176" s="1558" t="s">
        <v>228</v>
      </c>
      <c r="G176" s="1558" t="s">
        <v>228</v>
      </c>
      <c r="H176" s="1559" t="str">
        <f>G176</f>
        <v>Gg</v>
      </c>
      <c r="I176" s="1560"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100">
        <f>'Input data'!A117</f>
        <v>2017</v>
      </c>
      <c r="B177" s="1506">
        <f>'Input data'!B117</f>
        <v>56.521948041648095</v>
      </c>
      <c r="C177" s="1507">
        <f>'Input data'!C117</f>
        <v>3117.5115237718705</v>
      </c>
      <c r="D177" s="1507">
        <f>'Input data'!E117</f>
        <v>49995051</v>
      </c>
      <c r="E177" s="1508">
        <f>'Input data'!J117*C177</f>
        <v>37506.923384615395</v>
      </c>
      <c r="F177" s="1509">
        <f>'Input data'!L117</f>
        <v>87501.974384615402</v>
      </c>
      <c r="G177" s="1510">
        <f>F177*B11</f>
        <v>68439.708347615408</v>
      </c>
      <c r="H177" s="1513">
        <f t="shared" ref="H177" si="133">E177*$B$12+I177*$E$80-G177</f>
        <v>0</v>
      </c>
      <c r="I177" s="1511">
        <f>D177/1000</f>
        <v>49995.050999999999</v>
      </c>
      <c r="J177" s="1504">
        <f>H17</f>
        <v>6.154773859516615E-2</v>
      </c>
      <c r="K177" s="1501">
        <f>(I177)*J177-(I177)*$J$137</f>
        <v>0</v>
      </c>
      <c r="L177" s="1501">
        <f>(E177)*$C$12*$G$12-(E177)*$C$12*$G$12</f>
        <v>0</v>
      </c>
      <c r="M177" s="1503">
        <f>L177+K177</f>
        <v>0</v>
      </c>
      <c r="N177" s="1453">
        <v>0</v>
      </c>
      <c r="O177" s="1503">
        <f>N177*$E$177*($C$85)*$B$12</f>
        <v>0</v>
      </c>
      <c r="P177" s="1480">
        <f>O177+M177</f>
        <v>0</v>
      </c>
      <c r="Q177" s="1484">
        <f>E177*$B$12+(1-$J$137)*I177-P177</f>
        <v>68439.708347615408</v>
      </c>
      <c r="R177" s="1484">
        <f>Q177-G177</f>
        <v>0</v>
      </c>
      <c r="S177" s="1505">
        <f>R177/(Q177-I177*(1-J177))</f>
        <v>0</v>
      </c>
      <c r="T177" s="1489" t="str">
        <f>IF(AND(S177&gt;=0,S177&lt;=1),"Yes","No")</f>
        <v>Yes</v>
      </c>
      <c r="U177" s="1119">
        <f>IF(S177&lt;=0,0,IF(S177&gt;=1,1,S177))</f>
        <v>0</v>
      </c>
      <c r="V177" s="1493">
        <f>AC177</f>
        <v>87501.974384615402</v>
      </c>
      <c r="W177" s="1490">
        <f t="shared" ref="W177:W210" si="134">(1-V177/F177)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00">
        <f>'Input data'!A118</f>
        <v>2018</v>
      </c>
      <c r="B178" s="1506">
        <f>'Input data'!B118</f>
        <v>57.436000617299655</v>
      </c>
      <c r="C178" s="1507">
        <f>'Input data'!C118</f>
        <v>3154.0370052724184</v>
      </c>
      <c r="D178" s="1507">
        <f>'Input data'!E118</f>
        <v>50359792.847133137</v>
      </c>
      <c r="E178" s="1508">
        <f>'Input data'!J118*C178</f>
        <v>37946.363119089809</v>
      </c>
      <c r="F178" s="1509">
        <f>'Input data'!L118</f>
        <v>88306.155966222956</v>
      </c>
      <c r="G178" s="1510">
        <f>G177*0.94</f>
        <v>64333.325846758482</v>
      </c>
      <c r="H178" s="1509">
        <f>E178*$B$12+I178*$E$80-G178</f>
        <v>4700.8289604658348</v>
      </c>
      <c r="I178" s="1511">
        <f t="shared" ref="I178:I210" si="135">D178/1000</f>
        <v>50359.79284713314</v>
      </c>
      <c r="J178" s="1454">
        <f>($J$190-$J$177)/($A$190-$A$177)+J177</f>
        <v>8.7582527933999524E-2</v>
      </c>
      <c r="K178" s="1512">
        <f>(I178)*J178-(I178)*$J$137</f>
        <v>1311.106597922399</v>
      </c>
      <c r="L178" s="1512">
        <f t="shared" ref="L178:L210" si="136">(E178)*$C$12*$G$12-(E178)*$C$12*$G$12</f>
        <v>0</v>
      </c>
      <c r="M178" s="1511">
        <f>L178+K178</f>
        <v>1311.106597922399</v>
      </c>
      <c r="N178" s="1454">
        <v>0.05</v>
      </c>
      <c r="O178" s="1511">
        <f t="shared" ref="O178:O210" si="137">N178*$E$177*($C$85)*$B$12</f>
        <v>75.191700000000026</v>
      </c>
      <c r="P178" s="1481">
        <f>O178+M178</f>
        <v>1386.2982979223991</v>
      </c>
      <c r="Q178" s="1364">
        <f t="shared" ref="Q178:Q210" si="138">E178*$B$12+(1-$J$137)*I178-P178</f>
        <v>67647.856509301913</v>
      </c>
      <c r="R178" s="1364">
        <f>Q178-G178</f>
        <v>3314.5306625434314</v>
      </c>
      <c r="S178" s="1514">
        <f t="shared" ref="S178:S210" si="139">R178/(Q178-I178*(1-J178))</f>
        <v>0.15275248812947445</v>
      </c>
      <c r="T178" s="135" t="str">
        <f t="shared" ref="T178:T210" si="140">IF(AND(S178&gt;=0,S178&lt;=1),"Yes","No")</f>
        <v>Yes</v>
      </c>
      <c r="U178" s="1526">
        <f t="shared" ref="U178:U210" si="141">IF(S178&lt;=0,0,IF(S178&gt;=1,1,S178))</f>
        <v>0.15275248812947445</v>
      </c>
      <c r="V178" s="1494">
        <f t="shared" ref="V178:V210" si="142">AC178</f>
        <v>84991.625303679524</v>
      </c>
      <c r="W178" s="1491">
        <f t="shared" si="134"/>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100">
        <f>'Input data'!A119</f>
        <v>2019</v>
      </c>
      <c r="B179" s="1506">
        <f>'Input data'!B119</f>
        <v>58.364834921819444</v>
      </c>
      <c r="C179" s="1507">
        <f>'Input data'!C119</f>
        <v>4436.7667702662829</v>
      </c>
      <c r="D179" s="1507">
        <f>'Input data'!E119</f>
        <v>53495734.497914702</v>
      </c>
      <c r="E179" s="1508">
        <f>'Input data'!J119*C179</f>
        <v>53378.943448602397</v>
      </c>
      <c r="F179" s="1509">
        <f>'Input data'!L119</f>
        <v>106874.6779465171</v>
      </c>
      <c r="G179" s="1510">
        <f>G177*0.89</f>
        <v>60911.340429377713</v>
      </c>
      <c r="H179" s="1509">
        <f t="shared" ref="H179:H210" si="160">E179*$B$12+I179*$E$80-G179</f>
        <v>19921.070380681893</v>
      </c>
      <c r="I179" s="1511">
        <f t="shared" si="135"/>
        <v>53495.734497914702</v>
      </c>
      <c r="J179" s="1454">
        <f t="shared" ref="J179:J189" si="161">($J$190-$J$177)/($A$190-$A$177)+J178</f>
        <v>0.11361731727283289</v>
      </c>
      <c r="K179" s="1512">
        <f t="shared" ref="K179:K210" si="162">(I179)*J179-(I179)*$J$137</f>
        <v>2785.5003563587402</v>
      </c>
      <c r="L179" s="1512">
        <f t="shared" si="136"/>
        <v>0</v>
      </c>
      <c r="M179" s="1511">
        <f t="shared" ref="M179:M210" si="163">L179+K179</f>
        <v>2785.5003563587402</v>
      </c>
      <c r="N179" s="1454">
        <v>0.1</v>
      </c>
      <c r="O179" s="1511">
        <f t="shared" si="137"/>
        <v>150.38340000000005</v>
      </c>
      <c r="P179" s="1481">
        <f>O179+M179</f>
        <v>2935.8837563587404</v>
      </c>
      <c r="Q179" s="1364">
        <f t="shared" si="138"/>
        <v>77896.527053700862</v>
      </c>
      <c r="R179" s="1364">
        <f t="shared" ref="R179:R210" si="164">Q179-G179</f>
        <v>16985.186624323149</v>
      </c>
      <c r="S179" s="1514">
        <f t="shared" si="139"/>
        <v>0.55727809023829544</v>
      </c>
      <c r="T179" s="135" t="str">
        <f t="shared" si="140"/>
        <v>Yes</v>
      </c>
      <c r="U179" s="1526">
        <f t="shared" si="141"/>
        <v>0.55727809023829544</v>
      </c>
      <c r="V179" s="1494">
        <f t="shared" si="142"/>
        <v>89889.49132219395</v>
      </c>
      <c r="W179" s="1491">
        <f t="shared" si="134"/>
        <v>0.1589262017034847</v>
      </c>
      <c r="X179" s="527">
        <f t="shared" si="143"/>
        <v>60911.340429377713</v>
      </c>
      <c r="Y179" s="1509">
        <f t="shared" si="144"/>
        <v>10352.528410102976</v>
      </c>
      <c r="Z179" s="1531">
        <f t="shared" si="145"/>
        <v>2562.551002317176</v>
      </c>
      <c r="AA179" s="1531">
        <f t="shared" si="146"/>
        <v>0</v>
      </c>
      <c r="AB179" s="1531">
        <f t="shared" si="147"/>
        <v>16063.071480396085</v>
      </c>
      <c r="AC179" s="1531">
        <f t="shared" si="148"/>
        <v>89889.49132219395</v>
      </c>
      <c r="AD179" s="1487">
        <f t="shared" si="149"/>
        <v>0</v>
      </c>
      <c r="AE179" s="649">
        <f t="shared" si="150"/>
        <v>0.67762470933394348</v>
      </c>
      <c r="AF179" s="417">
        <f t="shared" si="151"/>
        <v>0.11516950711174966</v>
      </c>
      <c r="AG179" s="417">
        <f t="shared" si="152"/>
        <v>2.8507792897972218E-2</v>
      </c>
      <c r="AH179" s="417">
        <f t="shared" ref="AH179:AH210" si="165">AA179/AC179</f>
        <v>0</v>
      </c>
      <c r="AI179" s="417">
        <f t="shared" si="153"/>
        <v>0.1786979906563346</v>
      </c>
      <c r="AJ179" s="417">
        <f t="shared" si="154"/>
        <v>1</v>
      </c>
      <c r="AK179" s="1497">
        <f t="shared" si="155"/>
        <v>47417.692658721899</v>
      </c>
      <c r="AL179" s="1498">
        <f t="shared" si="156"/>
        <v>12612.703481765626</v>
      </c>
      <c r="AM179" s="1498">
        <f t="shared" si="157"/>
        <v>880.94428889018752</v>
      </c>
      <c r="AN179" s="1498">
        <f t="shared" si="158"/>
        <v>60911.340429377713</v>
      </c>
      <c r="AO179" s="1184">
        <f t="shared" si="159"/>
        <v>0</v>
      </c>
    </row>
    <row r="180" spans="1:41">
      <c r="A180" s="100">
        <f>'Input data'!A120</f>
        <v>2020</v>
      </c>
      <c r="B180" s="1506">
        <f>'Input data'!B120</f>
        <v>59.308690000000006</v>
      </c>
      <c r="C180" s="1507">
        <f>'Input data'!C120</f>
        <v>4156.6412676508144</v>
      </c>
      <c r="D180" s="1507">
        <f>'Input data'!E120</f>
        <v>51132056.241912685</v>
      </c>
      <c r="E180" s="1508">
        <f>'Input data'!J120*C180</f>
        <v>50008.740745401708</v>
      </c>
      <c r="F180" s="1509">
        <f>'Input data'!L120</f>
        <v>101140.79698731439</v>
      </c>
      <c r="G180" s="1510">
        <f>G177*0.81</f>
        <v>55436.163761568481</v>
      </c>
      <c r="H180" s="1509">
        <f t="shared" si="160"/>
        <v>21244.201537850815</v>
      </c>
      <c r="I180" s="1511">
        <f t="shared" si="135"/>
        <v>51132.056241912687</v>
      </c>
      <c r="J180" s="1454">
        <f t="shared" si="161"/>
        <v>0.13965210661166627</v>
      </c>
      <c r="K180" s="1512">
        <f t="shared" si="162"/>
        <v>3993.6369381587306</v>
      </c>
      <c r="L180" s="1512">
        <f t="shared" si="136"/>
        <v>0</v>
      </c>
      <c r="M180" s="1511">
        <f t="shared" si="163"/>
        <v>3993.6369381587306</v>
      </c>
      <c r="N180" s="1454">
        <f>($N$142-$N$137)/($A$102-$A$97)+N179</f>
        <v>0.2</v>
      </c>
      <c r="O180" s="1511">
        <f t="shared" si="137"/>
        <v>300.7668000000001</v>
      </c>
      <c r="P180" s="1481">
        <f t="shared" ref="P180:P210" si="166">O180+M180</f>
        <v>4294.4037381587304</v>
      </c>
      <c r="Q180" s="1364">
        <f t="shared" si="138"/>
        <v>72385.96156126057</v>
      </c>
      <c r="R180" s="1364">
        <f t="shared" si="164"/>
        <v>16949.797799692089</v>
      </c>
      <c r="S180" s="1514">
        <f t="shared" si="139"/>
        <v>0.59693726978730677</v>
      </c>
      <c r="T180" s="135" t="str">
        <f t="shared" si="140"/>
        <v>Yes</v>
      </c>
      <c r="U180" s="1526">
        <f t="shared" si="141"/>
        <v>0.59693726978730677</v>
      </c>
      <c r="V180" s="1494">
        <f t="shared" si="142"/>
        <v>84190.999187622321</v>
      </c>
      <c r="W180" s="1491">
        <f t="shared" si="134"/>
        <v>0.16758616013099048</v>
      </c>
      <c r="X180" s="527">
        <f t="shared" si="143"/>
        <v>55436.163761568474</v>
      </c>
      <c r="Y180" s="1509">
        <f t="shared" si="144"/>
        <v>11145.306372519357</v>
      </c>
      <c r="Z180" s="1531">
        <f t="shared" si="145"/>
        <v>2560.6366375303887</v>
      </c>
      <c r="AA180" s="1531">
        <f t="shared" si="146"/>
        <v>0</v>
      </c>
      <c r="AB180" s="1531">
        <f t="shared" si="147"/>
        <v>15048.892416004092</v>
      </c>
      <c r="AC180" s="1531">
        <f t="shared" si="148"/>
        <v>84190.999187622321</v>
      </c>
      <c r="AD180" s="1487">
        <f t="shared" si="149"/>
        <v>0</v>
      </c>
      <c r="AE180" s="649">
        <f t="shared" si="150"/>
        <v>0.65845713076794843</v>
      </c>
      <c r="AF180" s="417">
        <f t="shared" si="151"/>
        <v>0.13238121034389538</v>
      </c>
      <c r="AG180" s="417">
        <f t="shared" si="152"/>
        <v>3.0414612752414642E-2</v>
      </c>
      <c r="AH180" s="417">
        <f t="shared" si="165"/>
        <v>0</v>
      </c>
      <c r="AI180" s="417">
        <f t="shared" si="153"/>
        <v>0.17874704613574138</v>
      </c>
      <c r="AJ180" s="417">
        <f t="shared" si="154"/>
        <v>0.99999999999999978</v>
      </c>
      <c r="AK180" s="1497">
        <f t="shared" si="155"/>
        <v>43991.356872343385</v>
      </c>
      <c r="AL180" s="1498">
        <f t="shared" si="156"/>
        <v>10757.856785463338</v>
      </c>
      <c r="AM180" s="1498">
        <f t="shared" si="157"/>
        <v>686.95010376176072</v>
      </c>
      <c r="AN180" s="1498">
        <f t="shared" si="158"/>
        <v>55436.163761568481</v>
      </c>
      <c r="AO180" s="1184">
        <f t="shared" si="159"/>
        <v>0</v>
      </c>
    </row>
    <row r="181" spans="1:41">
      <c r="A181" s="100">
        <f>'Input data'!A121</f>
        <v>2021</v>
      </c>
      <c r="B181" s="1506">
        <f>'Input data'!B121</f>
        <v>59.991580449204264</v>
      </c>
      <c r="C181" s="1507">
        <f>'Input data'!C121</f>
        <v>4293.1482366506107</v>
      </c>
      <c r="D181" s="1507">
        <f>'Input data'!E121</f>
        <v>51275503.644747034</v>
      </c>
      <c r="E181" s="1508">
        <f>'Input data'!J121*C181</f>
        <v>51651.062317816235</v>
      </c>
      <c r="F181" s="1509">
        <f>'Input data'!L121</f>
        <v>102926.56596256327</v>
      </c>
      <c r="G181" s="1510">
        <f>G177*0.65</f>
        <v>44485.810425950018</v>
      </c>
      <c r="H181" s="1509">
        <f t="shared" si="160"/>
        <v>33271.549224205002</v>
      </c>
      <c r="I181" s="1511">
        <f t="shared" si="135"/>
        <v>51275.503644747034</v>
      </c>
      <c r="J181" s="1454">
        <f t="shared" si="161"/>
        <v>0.16568689595049965</v>
      </c>
      <c r="K181" s="1512">
        <f t="shared" si="162"/>
        <v>5339.7877425342876</v>
      </c>
      <c r="L181" s="1512">
        <f t="shared" si="136"/>
        <v>0</v>
      </c>
      <c r="M181" s="1511">
        <f t="shared" si="163"/>
        <v>5339.7877425342876</v>
      </c>
      <c r="N181" s="1454">
        <v>0.4</v>
      </c>
      <c r="O181" s="1511">
        <f t="shared" si="137"/>
        <v>601.53360000000021</v>
      </c>
      <c r="P181" s="1481">
        <f t="shared" si="166"/>
        <v>5941.3213425342874</v>
      </c>
      <c r="Q181" s="1364">
        <f t="shared" si="138"/>
        <v>71816.038307620736</v>
      </c>
      <c r="R181" s="1364">
        <f t="shared" si="164"/>
        <v>27330.227881670718</v>
      </c>
      <c r="S181" s="1514">
        <f t="shared" si="139"/>
        <v>0.94124627143119832</v>
      </c>
      <c r="T181" s="135" t="str">
        <f t="shared" si="140"/>
        <v>Yes</v>
      </c>
      <c r="U181" s="1526">
        <f t="shared" si="141"/>
        <v>0.94124627143119832</v>
      </c>
      <c r="V181" s="1494">
        <f t="shared" si="142"/>
        <v>75596.338080892543</v>
      </c>
      <c r="W181" s="1491">
        <f t="shared" si="134"/>
        <v>0.26553132931308865</v>
      </c>
      <c r="X181" s="527">
        <f t="shared" si="143"/>
        <v>44485.810425950018</v>
      </c>
      <c r="Y181" s="1509">
        <f t="shared" si="144"/>
        <v>12631.80009892837</v>
      </c>
      <c r="Z181" s="1531">
        <f t="shared" si="145"/>
        <v>2935.6191232226211</v>
      </c>
      <c r="AA181" s="1531">
        <f t="shared" si="146"/>
        <v>0</v>
      </c>
      <c r="AB181" s="1531">
        <f t="shared" si="147"/>
        <v>15543.108432791545</v>
      </c>
      <c r="AC181" s="1531">
        <f t="shared" si="148"/>
        <v>75596.338080892543</v>
      </c>
      <c r="AD181" s="1005">
        <f t="shared" si="149"/>
        <v>0</v>
      </c>
      <c r="AE181" s="649">
        <f t="shared" si="150"/>
        <v>0.58846514996993071</v>
      </c>
      <c r="AF181" s="417">
        <f t="shared" si="151"/>
        <v>0.16709539667664322</v>
      </c>
      <c r="AG181" s="417">
        <f t="shared" si="152"/>
        <v>3.8832821770828835E-2</v>
      </c>
      <c r="AH181" s="417">
        <f t="shared" si="165"/>
        <v>0</v>
      </c>
      <c r="AI181" s="417">
        <f t="shared" si="153"/>
        <v>0.20560663158259732</v>
      </c>
      <c r="AJ181" s="417">
        <f t="shared" si="154"/>
        <v>1</v>
      </c>
      <c r="AK181" s="1497">
        <f t="shared" si="155"/>
        <v>42779.824607550363</v>
      </c>
      <c r="AL181" s="1498">
        <f t="shared" si="156"/>
        <v>1619.652657637936</v>
      </c>
      <c r="AM181" s="1498">
        <f t="shared" si="157"/>
        <v>86.333160761719043</v>
      </c>
      <c r="AN181" s="1498">
        <f t="shared" si="158"/>
        <v>44485.810425950018</v>
      </c>
      <c r="AO181" s="1184">
        <f t="shared" si="159"/>
        <v>0</v>
      </c>
    </row>
    <row r="182" spans="1:41">
      <c r="A182" s="100">
        <f>'Input data'!A122</f>
        <v>2022</v>
      </c>
      <c r="B182" s="1506">
        <f>'Input data'!B122</f>
        <v>60.682333816399378</v>
      </c>
      <c r="C182" s="1507">
        <f>'Input data'!C122</f>
        <v>4403.1093139322493</v>
      </c>
      <c r="D182" s="1507">
        <f>'Input data'!E122</f>
        <v>50359792.847133137</v>
      </c>
      <c r="E182" s="1508">
        <f>'Input data'!J122*C182</f>
        <v>52974.009055765164</v>
      </c>
      <c r="F182" s="1509">
        <f>'Input data'!L122</f>
        <v>103333.8019028983</v>
      </c>
      <c r="G182" s="1510">
        <f>G177*(1-E4)</f>
        <v>34219.854173807704</v>
      </c>
      <c r="H182" s="1509">
        <f t="shared" si="160"/>
        <v>43437.270864804959</v>
      </c>
      <c r="I182" s="1511">
        <f t="shared" si="135"/>
        <v>50359.79284713314</v>
      </c>
      <c r="J182" s="1454">
        <f t="shared" si="161"/>
        <v>0.19172168528933303</v>
      </c>
      <c r="K182" s="1512">
        <f t="shared" si="162"/>
        <v>6555.5329896119965</v>
      </c>
      <c r="L182" s="1512">
        <f t="shared" si="136"/>
        <v>0</v>
      </c>
      <c r="M182" s="1511">
        <f t="shared" si="163"/>
        <v>6555.5329896119965</v>
      </c>
      <c r="N182" s="1454">
        <f>$E$26</f>
        <v>0.5</v>
      </c>
      <c r="O182" s="1511">
        <f t="shared" si="137"/>
        <v>751.91700000000026</v>
      </c>
      <c r="P182" s="1481">
        <f t="shared" si="166"/>
        <v>7307.4499896119969</v>
      </c>
      <c r="Q182" s="1364">
        <f t="shared" si="138"/>
        <v>70349.675049000667</v>
      </c>
      <c r="R182" s="1364">
        <f t="shared" si="164"/>
        <v>36129.820875192963</v>
      </c>
      <c r="S182" s="1514">
        <f t="shared" si="139"/>
        <v>1.218751425485211</v>
      </c>
      <c r="T182" s="135" t="str">
        <f t="shared" si="140"/>
        <v>No</v>
      </c>
      <c r="U182" s="1526">
        <f t="shared" si="141"/>
        <v>1</v>
      </c>
      <c r="V182" s="1494">
        <f t="shared" si="142"/>
        <v>73688.855345556731</v>
      </c>
      <c r="W182" s="1491">
        <f>(1-V182/F182)</f>
        <v>0.28688527869320646</v>
      </c>
      <c r="X182" s="527">
        <f t="shared" si="143"/>
        <v>40704.728491659072</v>
      </c>
      <c r="Y182" s="1509">
        <f t="shared" si="144"/>
        <v>13897.124532895406</v>
      </c>
      <c r="Z182" s="1531">
        <f t="shared" si="145"/>
        <v>3145.7858208059524</v>
      </c>
      <c r="AA182" s="1531">
        <f t="shared" si="146"/>
        <v>0</v>
      </c>
      <c r="AB182" s="1531">
        <f t="shared" si="147"/>
        <v>15941.216500196295</v>
      </c>
      <c r="AC182" s="1531">
        <f t="shared" si="148"/>
        <v>73688.855345556731</v>
      </c>
      <c r="AD182" s="1005">
        <f t="shared" si="149"/>
        <v>6484.8743178513687</v>
      </c>
      <c r="AE182" s="649">
        <f t="shared" si="150"/>
        <v>0.5523864945489817</v>
      </c>
      <c r="AF182" s="417">
        <f t="shared" si="151"/>
        <v>0.1885919447075978</v>
      </c>
      <c r="AG182" s="417">
        <f t="shared" si="152"/>
        <v>4.2690116518354033E-2</v>
      </c>
      <c r="AH182" s="417">
        <f t="shared" si="165"/>
        <v>0</v>
      </c>
      <c r="AI182" s="417">
        <f t="shared" si="153"/>
        <v>0.21633144422506645</v>
      </c>
      <c r="AJ182" s="417">
        <f t="shared" si="154"/>
        <v>1</v>
      </c>
      <c r="AK182" s="1497">
        <f t="shared" si="155"/>
        <v>40704.72849165908</v>
      </c>
      <c r="AL182" s="1498">
        <f t="shared" si="156"/>
        <v>0</v>
      </c>
      <c r="AM182" s="1498">
        <f t="shared" si="157"/>
        <v>0</v>
      </c>
      <c r="AN182" s="1498">
        <f t="shared" si="158"/>
        <v>40704.72849165908</v>
      </c>
      <c r="AO182" s="1184">
        <f t="shared" si="159"/>
        <v>0</v>
      </c>
    </row>
    <row r="183" spans="1:41">
      <c r="A183" s="100">
        <f>'Input data'!A123</f>
        <v>2023</v>
      </c>
      <c r="B183" s="1506">
        <f>'Input data'!B123</f>
        <v>61.381040636574369</v>
      </c>
      <c r="C183" s="1507">
        <f>'Input data'!C123</f>
        <v>4507.0199361395535</v>
      </c>
      <c r="D183" s="1507">
        <f>'Input data'!E123</f>
        <v>49986151.288104504</v>
      </c>
      <c r="E183" s="1508">
        <f>'Input data'!J123*C183</f>
        <v>54224.162492651791</v>
      </c>
      <c r="F183" s="1509">
        <f>'Input data'!L123</f>
        <v>104210.31378075629</v>
      </c>
      <c r="G183" s="1510">
        <f>($G$147-$G$142)/($A$147-$A$142)+G182</f>
        <v>32166.662923379241</v>
      </c>
      <c r="H183" s="1509">
        <f t="shared" si="160"/>
        <v>45857.164292060486</v>
      </c>
      <c r="I183" s="1511">
        <f t="shared" si="135"/>
        <v>49986.151288104506</v>
      </c>
      <c r="J183" s="1454">
        <f t="shared" si="161"/>
        <v>0.21775647462816641</v>
      </c>
      <c r="K183" s="1512">
        <f t="shared" si="162"/>
        <v>7808.2735118691326</v>
      </c>
      <c r="L183" s="1512">
        <f t="shared" si="136"/>
        <v>0</v>
      </c>
      <c r="M183" s="1511">
        <f t="shared" si="163"/>
        <v>7808.2735118691326</v>
      </c>
      <c r="N183" s="1454">
        <f>($N$147-$N$142)/($A$107-$A$102)+N182</f>
        <v>0.5</v>
      </c>
      <c r="O183" s="1511">
        <f t="shared" si="137"/>
        <v>751.91700000000026</v>
      </c>
      <c r="P183" s="1481">
        <f t="shared" si="166"/>
        <v>8560.190511869132</v>
      </c>
      <c r="Q183" s="1364">
        <f t="shared" si="138"/>
        <v>69463.636703570592</v>
      </c>
      <c r="R183" s="1364">
        <f t="shared" si="164"/>
        <v>37296.973780191351</v>
      </c>
      <c r="S183" s="1514">
        <f t="shared" si="139"/>
        <v>1.2283977750216122</v>
      </c>
      <c r="T183" s="135" t="str">
        <f t="shared" si="140"/>
        <v>No</v>
      </c>
      <c r="U183" s="1526">
        <f t="shared" si="141"/>
        <v>1</v>
      </c>
      <c r="V183" s="1494">
        <f t="shared" si="142"/>
        <v>73848.020280562399</v>
      </c>
      <c r="W183" s="1491">
        <f t="shared" si="134"/>
        <v>0.29135593588242947</v>
      </c>
      <c r="X183" s="527">
        <f t="shared" si="143"/>
        <v>39101.343203376688</v>
      </c>
      <c r="Y183" s="1509">
        <f t="shared" si="144"/>
        <v>15226.978225597468</v>
      </c>
      <c r="Z183" s="1531">
        <f t="shared" si="145"/>
        <v>3202.2796257327404</v>
      </c>
      <c r="AA183" s="1531">
        <f t="shared" si="146"/>
        <v>0</v>
      </c>
      <c r="AB183" s="1531">
        <f t="shared" si="147"/>
        <v>16317.419225855498</v>
      </c>
      <c r="AC183" s="1531">
        <f t="shared" si="148"/>
        <v>73848.020280562399</v>
      </c>
      <c r="AD183" s="1005">
        <f t="shared" si="149"/>
        <v>6934.6802799974466</v>
      </c>
      <c r="AE183" s="649">
        <f t="shared" si="150"/>
        <v>0.52948397336615649</v>
      </c>
      <c r="AF183" s="417">
        <f t="shared" si="151"/>
        <v>0.20619345200788508</v>
      </c>
      <c r="AG183" s="417">
        <f t="shared" si="152"/>
        <v>4.3363107278525312E-2</v>
      </c>
      <c r="AH183" s="417">
        <f t="shared" si="165"/>
        <v>0</v>
      </c>
      <c r="AI183" s="417">
        <f t="shared" si="153"/>
        <v>0.22095946734743299</v>
      </c>
      <c r="AJ183" s="417">
        <f t="shared" si="154"/>
        <v>0.99999999999999989</v>
      </c>
      <c r="AK183" s="1497">
        <f t="shared" si="155"/>
        <v>39101.343203376688</v>
      </c>
      <c r="AL183" s="1498">
        <f t="shared" si="156"/>
        <v>0</v>
      </c>
      <c r="AM183" s="1498">
        <f t="shared" si="157"/>
        <v>0</v>
      </c>
      <c r="AN183" s="1498">
        <f t="shared" si="158"/>
        <v>39101.343203376688</v>
      </c>
      <c r="AO183" s="1184">
        <f t="shared" si="159"/>
        <v>0</v>
      </c>
    </row>
    <row r="184" spans="1:41">
      <c r="A184" s="100">
        <f>'Input data'!A124</f>
        <v>2024</v>
      </c>
      <c r="B184" s="1506">
        <f>'Input data'!B124</f>
        <v>62.087792487153699</v>
      </c>
      <c r="C184" s="1507">
        <f>'Input data'!C124</f>
        <v>4624.8292728728675</v>
      </c>
      <c r="D184" s="1507">
        <f>'Input data'!E124</f>
        <v>51073828.378576256</v>
      </c>
      <c r="E184" s="1508">
        <f>'Input data'!J124*C184</f>
        <v>55641.531998154896</v>
      </c>
      <c r="F184" s="1509">
        <f>'Input data'!L124</f>
        <v>106715.36037673114</v>
      </c>
      <c r="G184" s="1510">
        <f t="shared" ref="G184:G186" si="167">($G$147-$G$142)/($A$147-$A$142)+G183</f>
        <v>30113.471672950778</v>
      </c>
      <c r="H184" s="1509">
        <f t="shared" si="160"/>
        <v>49744.385281279698</v>
      </c>
      <c r="I184" s="1511">
        <f t="shared" si="135"/>
        <v>51073.828378576254</v>
      </c>
      <c r="J184" s="1454">
        <f t="shared" si="161"/>
        <v>0.24379126396699979</v>
      </c>
      <c r="K184" s="1512">
        <f t="shared" si="162"/>
        <v>9307.8745379477386</v>
      </c>
      <c r="L184" s="1512">
        <f t="shared" si="136"/>
        <v>0</v>
      </c>
      <c r="M184" s="1511">
        <f t="shared" si="163"/>
        <v>9307.8745379477386</v>
      </c>
      <c r="N184" s="1454">
        <f>($N$147-$N$142)/($A$107-$A$102)+N183</f>
        <v>0.5</v>
      </c>
      <c r="O184" s="1511">
        <f t="shared" si="137"/>
        <v>751.91700000000026</v>
      </c>
      <c r="P184" s="1481">
        <f t="shared" si="166"/>
        <v>10059.791537947738</v>
      </c>
      <c r="Q184" s="1364">
        <f t="shared" si="138"/>
        <v>69798.065416282741</v>
      </c>
      <c r="R184" s="1364">
        <f t="shared" si="164"/>
        <v>39684.593743331963</v>
      </c>
      <c r="S184" s="1514">
        <f t="shared" si="139"/>
        <v>1.2729380092321385</v>
      </c>
      <c r="T184" s="135" t="str">
        <f t="shared" si="140"/>
        <v>No</v>
      </c>
      <c r="U184" s="1526">
        <f t="shared" si="141"/>
        <v>1</v>
      </c>
      <c r="V184" s="1494">
        <f t="shared" si="142"/>
        <v>75539.770162977948</v>
      </c>
      <c r="W184" s="1491">
        <f t="shared" si="134"/>
        <v>0.29213779631812875</v>
      </c>
      <c r="X184" s="527">
        <f t="shared" si="143"/>
        <v>38622.475202529524</v>
      </c>
      <c r="Y184" s="1509">
        <f t="shared" si="144"/>
        <v>16907.023632319295</v>
      </c>
      <c r="Z184" s="1531">
        <f t="shared" si="145"/>
        <v>3266.3298406827407</v>
      </c>
      <c r="AA184" s="1531">
        <f t="shared" si="146"/>
        <v>0</v>
      </c>
      <c r="AB184" s="1531">
        <f t="shared" si="147"/>
        <v>16743.941487446387</v>
      </c>
      <c r="AC184" s="1531">
        <f t="shared" si="148"/>
        <v>75539.770162977948</v>
      </c>
      <c r="AD184" s="1005">
        <f t="shared" si="149"/>
        <v>8509.0035295787457</v>
      </c>
      <c r="AE184" s="649">
        <f t="shared" si="150"/>
        <v>0.51128663906709115</v>
      </c>
      <c r="AF184" s="417">
        <f t="shared" si="151"/>
        <v>0.22381619107183132</v>
      </c>
      <c r="AG184" s="417">
        <f t="shared" si="152"/>
        <v>4.3239869986837334E-2</v>
      </c>
      <c r="AH184" s="417">
        <f t="shared" si="165"/>
        <v>0</v>
      </c>
      <c r="AI184" s="417">
        <f t="shared" si="153"/>
        <v>0.22165729987424024</v>
      </c>
      <c r="AJ184" s="417">
        <f t="shared" si="154"/>
        <v>1</v>
      </c>
      <c r="AK184" s="1497">
        <f t="shared" si="155"/>
        <v>38622.475202529524</v>
      </c>
      <c r="AL184" s="1498">
        <f t="shared" si="156"/>
        <v>0</v>
      </c>
      <c r="AM184" s="1498">
        <f t="shared" si="157"/>
        <v>0</v>
      </c>
      <c r="AN184" s="1498">
        <f t="shared" si="158"/>
        <v>38622.475202529524</v>
      </c>
      <c r="AO184" s="1184">
        <f t="shared" si="159"/>
        <v>0</v>
      </c>
    </row>
    <row r="185" spans="1:41">
      <c r="A185" s="100">
        <f>'Input data'!A125</f>
        <v>2025</v>
      </c>
      <c r="B185" s="1506">
        <f>'Input data'!B125</f>
        <v>62.802682000000026</v>
      </c>
      <c r="C185" s="1507">
        <f>'Input data'!C125</f>
        <v>4737.3047749260231</v>
      </c>
      <c r="D185" s="1507">
        <f>'Input data'!E125</f>
        <v>51201731.8667503</v>
      </c>
      <c r="E185" s="1508">
        <f>'Input data'!J125*C185</f>
        <v>56994.729895255135</v>
      </c>
      <c r="F185" s="1509">
        <f>'Input data'!L125</f>
        <v>108196.46176200543</v>
      </c>
      <c r="G185" s="1510">
        <f t="shared" si="167"/>
        <v>28060.280422522315</v>
      </c>
      <c r="H185" s="1509">
        <f t="shared" si="160"/>
        <v>52694.082437199271</v>
      </c>
      <c r="I185" s="1511">
        <f t="shared" si="135"/>
        <v>51201.731866750299</v>
      </c>
      <c r="J185" s="1454">
        <f t="shared" si="161"/>
        <v>0.26982605330583315</v>
      </c>
      <c r="K185" s="1512">
        <f t="shared" si="162"/>
        <v>10664.210423474206</v>
      </c>
      <c r="L185" s="1512">
        <f t="shared" si="136"/>
        <v>0</v>
      </c>
      <c r="M185" s="1511">
        <f t="shared" si="163"/>
        <v>10664.210423474206</v>
      </c>
      <c r="N185" s="1454">
        <f>($N$147-$N$142)/($A$107-$A$102)+N184</f>
        <v>0.5</v>
      </c>
      <c r="O185" s="1511">
        <f t="shared" si="137"/>
        <v>751.91700000000026</v>
      </c>
      <c r="P185" s="1481">
        <f t="shared" si="166"/>
        <v>11416.127423474205</v>
      </c>
      <c r="Q185" s="1364">
        <f t="shared" si="138"/>
        <v>69338.235436247385</v>
      </c>
      <c r="R185" s="1364">
        <f t="shared" si="164"/>
        <v>41277.95501372507</v>
      </c>
      <c r="S185" s="1514">
        <f t="shared" si="139"/>
        <v>1.291871285005465</v>
      </c>
      <c r="T185" s="135" t="str">
        <f t="shared" si="140"/>
        <v>No</v>
      </c>
      <c r="U185" s="1526">
        <f t="shared" si="141"/>
        <v>1</v>
      </c>
      <c r="V185" s="1494">
        <f t="shared" si="142"/>
        <v>76244.396960479615</v>
      </c>
      <c r="W185" s="1491">
        <f t="shared" si="134"/>
        <v>0.29531524673892984</v>
      </c>
      <c r="X185" s="527">
        <f t="shared" si="143"/>
        <v>37386.170634721551</v>
      </c>
      <c r="Y185" s="1509">
        <f t="shared" si="144"/>
        <v>18379.593260585112</v>
      </c>
      <c r="Z185" s="1531">
        <f t="shared" si="145"/>
        <v>3327.4801729303604</v>
      </c>
      <c r="AA185" s="1531">
        <f t="shared" si="146"/>
        <v>0</v>
      </c>
      <c r="AB185" s="1531">
        <f t="shared" si="147"/>
        <v>17151.152892242597</v>
      </c>
      <c r="AC185" s="1531">
        <f t="shared" si="148"/>
        <v>76244.396960479615</v>
      </c>
      <c r="AD185" s="1005">
        <f t="shared" si="149"/>
        <v>9325.890212199236</v>
      </c>
      <c r="AE185" s="649">
        <f t="shared" si="150"/>
        <v>0.49034646643084123</v>
      </c>
      <c r="AF185" s="417">
        <f t="shared" si="151"/>
        <v>0.24106155984303945</v>
      </c>
      <c r="AG185" s="417">
        <f t="shared" si="152"/>
        <v>4.3642291179181607E-2</v>
      </c>
      <c r="AH185" s="417">
        <f t="shared" si="165"/>
        <v>0</v>
      </c>
      <c r="AI185" s="417">
        <f t="shared" si="153"/>
        <v>0.22494968254693778</v>
      </c>
      <c r="AJ185" s="417">
        <f t="shared" si="154"/>
        <v>1</v>
      </c>
      <c r="AK185" s="1497">
        <f t="shared" si="155"/>
        <v>37386.170634721559</v>
      </c>
      <c r="AL185" s="1498">
        <f t="shared" si="156"/>
        <v>0</v>
      </c>
      <c r="AM185" s="1498">
        <f t="shared" si="157"/>
        <v>0</v>
      </c>
      <c r="AN185" s="1498">
        <f t="shared" si="158"/>
        <v>37386.170634721559</v>
      </c>
      <c r="AO185" s="1184">
        <f t="shared" si="159"/>
        <v>0</v>
      </c>
    </row>
    <row r="186" spans="1:41">
      <c r="A186" s="100">
        <f>'Input data'!A126</f>
        <v>2026</v>
      </c>
      <c r="B186" s="1506">
        <f>'Input data'!B126</f>
        <v>63.421065342005143</v>
      </c>
      <c r="C186" s="1507">
        <f>'Input data'!C126</f>
        <v>4839.0369685354799</v>
      </c>
      <c r="D186" s="1507">
        <f>'Input data'!E126</f>
        <v>50537069.53539668</v>
      </c>
      <c r="E186" s="1508">
        <f>'Input data'!J126*C186</f>
        <v>58218.674558286308</v>
      </c>
      <c r="F186" s="1509">
        <f>'Input data'!L126</f>
        <v>108755.744093683</v>
      </c>
      <c r="G186" s="1510">
        <f t="shared" si="167"/>
        <v>26007.089172093853</v>
      </c>
      <c r="H186" s="1509">
        <f t="shared" si="160"/>
        <v>54825.827981512746</v>
      </c>
      <c r="I186" s="1511">
        <f t="shared" si="135"/>
        <v>50537.06953539668</v>
      </c>
      <c r="J186" s="1454">
        <f t="shared" si="161"/>
        <v>0.2958608426446665</v>
      </c>
      <c r="K186" s="1512">
        <f t="shared" si="162"/>
        <v>11841.497632404236</v>
      </c>
      <c r="L186" s="1512">
        <f t="shared" si="136"/>
        <v>0</v>
      </c>
      <c r="M186" s="1511">
        <f t="shared" si="163"/>
        <v>11841.497632404236</v>
      </c>
      <c r="N186" s="1454">
        <f>($N$147-$N$142)/($A$107-$A$102)+N185</f>
        <v>0.5</v>
      </c>
      <c r="O186" s="1511">
        <f t="shared" si="137"/>
        <v>751.91700000000026</v>
      </c>
      <c r="P186" s="1481">
        <f t="shared" si="166"/>
        <v>12593.414632404236</v>
      </c>
      <c r="Q186" s="1364">
        <f t="shared" si="138"/>
        <v>68239.502521202361</v>
      </c>
      <c r="R186" s="1364">
        <f t="shared" si="164"/>
        <v>42232.413349108509</v>
      </c>
      <c r="S186" s="1514">
        <f t="shared" si="139"/>
        <v>1.2933157037350294</v>
      </c>
      <c r="T186" s="135" t="str">
        <f t="shared" si="140"/>
        <v>No</v>
      </c>
      <c r="U186" s="1526">
        <f t="shared" si="141"/>
        <v>1</v>
      </c>
      <c r="V186" s="1494">
        <f t="shared" si="142"/>
        <v>76101.371130342755</v>
      </c>
      <c r="W186" s="1491">
        <f t="shared" si="134"/>
        <v>0.30025423701033693</v>
      </c>
      <c r="X186" s="527">
        <f t="shared" si="143"/>
        <v>35585.129557862114</v>
      </c>
      <c r="Y186" s="1509">
        <f t="shared" si="144"/>
        <v>19613.983219645612</v>
      </c>
      <c r="Z186" s="1531">
        <f t="shared" si="145"/>
        <v>3382.7896165508691</v>
      </c>
      <c r="AA186" s="1531">
        <f t="shared" si="146"/>
        <v>0</v>
      </c>
      <c r="AB186" s="1531">
        <f t="shared" si="147"/>
        <v>17519.468736284161</v>
      </c>
      <c r="AC186" s="1531">
        <f t="shared" si="148"/>
        <v>76101.371130342755</v>
      </c>
      <c r="AD186" s="1005">
        <f t="shared" si="149"/>
        <v>9578.0403857682613</v>
      </c>
      <c r="AE186" s="1454">
        <f t="shared" si="150"/>
        <v>0.46760168745072439</v>
      </c>
      <c r="AF186" s="1504">
        <f t="shared" si="151"/>
        <v>0.25773495179280975</v>
      </c>
      <c r="AG186" s="1504">
        <f t="shared" si="152"/>
        <v>4.4451099452032086E-2</v>
      </c>
      <c r="AH186" s="1504">
        <f t="shared" si="165"/>
        <v>0</v>
      </c>
      <c r="AI186" s="1504">
        <f t="shared" si="153"/>
        <v>0.23021226130443381</v>
      </c>
      <c r="AJ186" s="1504">
        <f t="shared" si="154"/>
        <v>1</v>
      </c>
      <c r="AK186" s="1555">
        <f t="shared" si="155"/>
        <v>35585.129557862114</v>
      </c>
      <c r="AL186" s="1556">
        <f t="shared" si="156"/>
        <v>0</v>
      </c>
      <c r="AM186" s="1556">
        <f t="shared" si="157"/>
        <v>0</v>
      </c>
      <c r="AN186" s="1556">
        <f t="shared" si="158"/>
        <v>35585.129557862114</v>
      </c>
      <c r="AO186" s="1543">
        <f t="shared" si="159"/>
        <v>0</v>
      </c>
    </row>
    <row r="187" spans="1:41">
      <c r="A187" s="100">
        <f>'Input data'!A127</f>
        <v>2027</v>
      </c>
      <c r="B187" s="1506">
        <f>'Input data'!B127</f>
        <v>64.045537563425796</v>
      </c>
      <c r="C187" s="1507">
        <f>'Input data'!C127</f>
        <v>4937.5264455117067</v>
      </c>
      <c r="D187" s="1507">
        <f>'Input data'!E127</f>
        <v>49329037.288601168</v>
      </c>
      <c r="E187" s="1508">
        <f>'Input data'!J127*C187</f>
        <v>59403.605949548262</v>
      </c>
      <c r="F187" s="1509">
        <f>'Input data'!L127</f>
        <v>108732.64323814944</v>
      </c>
      <c r="G187" s="1510">
        <f>G177*(1-E5)</f>
        <v>23953.89792166539</v>
      </c>
      <c r="H187" s="1509">
        <f t="shared" si="160"/>
        <v>56425.260706794892</v>
      </c>
      <c r="I187" s="1511">
        <f t="shared" si="135"/>
        <v>49329.037288601168</v>
      </c>
      <c r="J187" s="1454">
        <f t="shared" si="161"/>
        <v>0.32189563198349985</v>
      </c>
      <c r="K187" s="1512">
        <f t="shared" si="162"/>
        <v>12842.710940961875</v>
      </c>
      <c r="L187" s="1512">
        <f t="shared" si="136"/>
        <v>0</v>
      </c>
      <c r="M187" s="1511">
        <f t="shared" si="163"/>
        <v>12842.710940961875</v>
      </c>
      <c r="N187" s="1454">
        <f>$C$27</f>
        <v>0.5</v>
      </c>
      <c r="O187" s="1511">
        <f t="shared" si="137"/>
        <v>751.91700000000026</v>
      </c>
      <c r="P187" s="1481">
        <f t="shared" si="166"/>
        <v>13594.627940961875</v>
      </c>
      <c r="Q187" s="1364">
        <f t="shared" si="138"/>
        <v>66784.530687498409</v>
      </c>
      <c r="R187" s="1364">
        <f t="shared" si="164"/>
        <v>42830.632765833019</v>
      </c>
      <c r="S187" s="1514">
        <f t="shared" si="139"/>
        <v>1.2848819128964226</v>
      </c>
      <c r="T187" s="135" t="str">
        <f t="shared" si="140"/>
        <v>No</v>
      </c>
      <c r="U187" s="1526">
        <f t="shared" si="141"/>
        <v>1</v>
      </c>
      <c r="V187" s="1494">
        <f t="shared" si="142"/>
        <v>75398.348206100287</v>
      </c>
      <c r="W187" s="1491">
        <f t="shared" si="134"/>
        <v>0.3065711826671903</v>
      </c>
      <c r="X187" s="527">
        <f t="shared" si="143"/>
        <v>33450.235655449265</v>
      </c>
      <c r="Y187" s="1509">
        <f t="shared" si="144"/>
        <v>20635.731978531978</v>
      </c>
      <c r="Z187" s="1531">
        <f t="shared" si="145"/>
        <v>3436.3360700456424</v>
      </c>
      <c r="AA187" s="1531">
        <f t="shared" si="146"/>
        <v>0</v>
      </c>
      <c r="AB187" s="1531">
        <f t="shared" si="147"/>
        <v>17876.044502073404</v>
      </c>
      <c r="AC187" s="1531">
        <f t="shared" si="148"/>
        <v>75398.348206100287</v>
      </c>
      <c r="AD187" s="1005">
        <f t="shared" si="149"/>
        <v>9496.3377337838756</v>
      </c>
      <c r="AE187" s="1454">
        <f t="shared" si="150"/>
        <v>0.44364679666474299</v>
      </c>
      <c r="AF187" s="1504">
        <f t="shared" si="151"/>
        <v>0.27368944372792497</v>
      </c>
      <c r="AG187" s="1504">
        <f t="shared" si="152"/>
        <v>4.5575747371182029E-2</v>
      </c>
      <c r="AH187" s="1504">
        <f t="shared" si="165"/>
        <v>0</v>
      </c>
      <c r="AI187" s="1504">
        <f t="shared" si="153"/>
        <v>0.23708801223615</v>
      </c>
      <c r="AJ187" s="1504">
        <f t="shared" si="154"/>
        <v>1</v>
      </c>
      <c r="AK187" s="1555">
        <f t="shared" si="155"/>
        <v>33450.235655449258</v>
      </c>
      <c r="AL187" s="1556">
        <f t="shared" si="156"/>
        <v>0</v>
      </c>
      <c r="AM187" s="1556">
        <f t="shared" si="157"/>
        <v>0</v>
      </c>
      <c r="AN187" s="1556">
        <f t="shared" si="158"/>
        <v>33450.235655449258</v>
      </c>
      <c r="AO187" s="1543">
        <f t="shared" si="159"/>
        <v>0</v>
      </c>
    </row>
    <row r="188" spans="1:41">
      <c r="A188" s="100">
        <f>'Input data'!A128</f>
        <v>2028</v>
      </c>
      <c r="B188" s="1506">
        <f>'Input data'!B128</f>
        <v>64.676158618096451</v>
      </c>
      <c r="C188" s="1507">
        <f>'Input data'!C128</f>
        <v>5030.8888370380655</v>
      </c>
      <c r="D188" s="1507">
        <f>'Input data'!E128</f>
        <v>48528826.860263921</v>
      </c>
      <c r="E188" s="1508">
        <f>'Input data'!J128*C188</f>
        <v>60526.853141830288</v>
      </c>
      <c r="F188" s="1509">
        <f>'Input data'!L128</f>
        <v>109055.68000209422</v>
      </c>
      <c r="G188" s="1510">
        <f>($G$152-$G$147)/($A$152-$A$147)+G187</f>
        <v>21900.706671236927</v>
      </c>
      <c r="H188" s="1509">
        <f t="shared" si="160"/>
        <v>58372.019907309354</v>
      </c>
      <c r="I188" s="1511">
        <f t="shared" si="135"/>
        <v>48528.826860263922</v>
      </c>
      <c r="J188" s="1454">
        <f t="shared" si="161"/>
        <v>0.34793042132233321</v>
      </c>
      <c r="K188" s="1512">
        <f t="shared" si="162"/>
        <v>13897.815625844583</v>
      </c>
      <c r="L188" s="1512">
        <f t="shared" si="136"/>
        <v>0</v>
      </c>
      <c r="M188" s="1511">
        <f t="shared" si="163"/>
        <v>13897.815625844583</v>
      </c>
      <c r="N188" s="1454">
        <f>N187</f>
        <v>0.5</v>
      </c>
      <c r="O188" s="1511">
        <f t="shared" si="137"/>
        <v>751.91700000000026</v>
      </c>
      <c r="P188" s="1481">
        <f t="shared" si="166"/>
        <v>14649.732625844583</v>
      </c>
      <c r="Q188" s="1364">
        <f t="shared" si="138"/>
        <v>65622.993952701698</v>
      </c>
      <c r="R188" s="1364">
        <f t="shared" si="164"/>
        <v>43722.287281464771</v>
      </c>
      <c r="S188" s="1514">
        <f t="shared" si="139"/>
        <v>1.2867511103341922</v>
      </c>
      <c r="T188" s="135" t="str">
        <f t="shared" si="140"/>
        <v>No</v>
      </c>
      <c r="U188" s="1526">
        <f t="shared" si="141"/>
        <v>1</v>
      </c>
      <c r="V188" s="1494">
        <f t="shared" si="142"/>
        <v>75076.857733886267</v>
      </c>
      <c r="W188" s="1491">
        <f t="shared" si="134"/>
        <v>0.31157315481005166</v>
      </c>
      <c r="X188" s="527">
        <f t="shared" si="143"/>
        <v>31644.171684493736</v>
      </c>
      <c r="Y188" s="1509">
        <f t="shared" si="144"/>
        <v>21731.533068423185</v>
      </c>
      <c r="Z188" s="1531">
        <f t="shared" si="145"/>
        <v>3487.0950456185724</v>
      </c>
      <c r="AA188" s="1531">
        <f t="shared" si="146"/>
        <v>0</v>
      </c>
      <c r="AB188" s="1531">
        <f t="shared" si="147"/>
        <v>18214.057935350767</v>
      </c>
      <c r="AC188" s="1531">
        <f t="shared" si="148"/>
        <v>75076.857733886267</v>
      </c>
      <c r="AD188" s="1005">
        <f t="shared" si="149"/>
        <v>9743.4650132568095</v>
      </c>
      <c r="AE188" s="1454">
        <f t="shared" si="150"/>
        <v>0.42149035854241673</v>
      </c>
      <c r="AF188" s="1504">
        <f t="shared" si="151"/>
        <v>0.28945714730698646</v>
      </c>
      <c r="AG188" s="1504">
        <f t="shared" si="152"/>
        <v>4.6447003122836568E-2</v>
      </c>
      <c r="AH188" s="1504">
        <f t="shared" si="165"/>
        <v>0</v>
      </c>
      <c r="AI188" s="1504">
        <f t="shared" si="153"/>
        <v>0.24260549102776011</v>
      </c>
      <c r="AJ188" s="1504">
        <f t="shared" si="154"/>
        <v>0.99999999999999989</v>
      </c>
      <c r="AK188" s="1555">
        <f t="shared" si="155"/>
        <v>31644.17168449374</v>
      </c>
      <c r="AL188" s="1556">
        <f t="shared" si="156"/>
        <v>0</v>
      </c>
      <c r="AM188" s="1556">
        <f t="shared" si="157"/>
        <v>0</v>
      </c>
      <c r="AN188" s="1556">
        <f t="shared" si="158"/>
        <v>31644.17168449374</v>
      </c>
      <c r="AO188" s="1543">
        <f t="shared" si="159"/>
        <v>0</v>
      </c>
    </row>
    <row r="189" spans="1:41">
      <c r="A189" s="100">
        <f>'Input data'!A129</f>
        <v>2029</v>
      </c>
      <c r="B189" s="1506">
        <f>'Input data'!B129</f>
        <v>65.31298905018393</v>
      </c>
      <c r="C189" s="1507">
        <f>'Input data'!C129</f>
        <v>5147.1070268118992</v>
      </c>
      <c r="D189" s="1507">
        <f>'Input data'!E129</f>
        <v>46965110.037548423</v>
      </c>
      <c r="E189" s="1508">
        <f>'Input data'!J129*C189</f>
        <v>61925.079485664915</v>
      </c>
      <c r="F189" s="1509">
        <f>'Input data'!L129</f>
        <v>108890.18952321334</v>
      </c>
      <c r="G189" s="1510">
        <f t="shared" ref="G189:G191" si="168">($G$152-$G$147)/($A$152-$A$147)+G188</f>
        <v>19847.515420808464</v>
      </c>
      <c r="H189" s="1509">
        <f t="shared" si="160"/>
        <v>59760.049800363275</v>
      </c>
      <c r="I189" s="1511">
        <f t="shared" si="135"/>
        <v>46965.110037548424</v>
      </c>
      <c r="J189" s="1454">
        <f t="shared" si="161"/>
        <v>0.37396521066116656</v>
      </c>
      <c r="K189" s="1512">
        <f t="shared" si="162"/>
        <v>14672.72095323242</v>
      </c>
      <c r="L189" s="1512">
        <f t="shared" si="136"/>
        <v>0</v>
      </c>
      <c r="M189" s="1511">
        <f t="shared" si="163"/>
        <v>14672.72095323242</v>
      </c>
      <c r="N189" s="1454">
        <f t="shared" ref="N189:N210" si="169">N188</f>
        <v>0.5</v>
      </c>
      <c r="O189" s="1511">
        <f t="shared" si="137"/>
        <v>751.91700000000026</v>
      </c>
      <c r="P189" s="1481">
        <f t="shared" si="166"/>
        <v>15424.637953232419</v>
      </c>
      <c r="Q189" s="1364">
        <f t="shared" si="138"/>
        <v>64182.927267939318</v>
      </c>
      <c r="R189" s="1364">
        <f t="shared" si="164"/>
        <v>44335.411847130854</v>
      </c>
      <c r="S189" s="1514">
        <f t="shared" si="139"/>
        <v>1.2746971162776046</v>
      </c>
      <c r="T189" s="135" t="str">
        <f t="shared" si="140"/>
        <v>No</v>
      </c>
      <c r="U189" s="1526">
        <f t="shared" si="141"/>
        <v>1</v>
      </c>
      <c r="V189" s="1494">
        <f t="shared" si="142"/>
        <v>74109.055023905777</v>
      </c>
      <c r="W189" s="1491">
        <f t="shared" si="134"/>
        <v>0.31941476685457393</v>
      </c>
      <c r="X189" s="527">
        <f t="shared" si="143"/>
        <v>29401.792768631756</v>
      </c>
      <c r="Y189" s="1509">
        <f t="shared" si="144"/>
        <v>22522.162528169356</v>
      </c>
      <c r="Z189" s="1531">
        <f t="shared" si="145"/>
        <v>3550.2801907226872</v>
      </c>
      <c r="AA189" s="1531">
        <f t="shared" si="146"/>
        <v>0</v>
      </c>
      <c r="AB189" s="1531">
        <f t="shared" si="147"/>
        <v>18634.81953638198</v>
      </c>
      <c r="AC189" s="1531">
        <f t="shared" si="148"/>
        <v>74109.055023905777</v>
      </c>
      <c r="AD189" s="1005">
        <f t="shared" si="149"/>
        <v>9554.2773478232921</v>
      </c>
      <c r="AE189" s="1454">
        <f t="shared" si="150"/>
        <v>0.39673684624837618</v>
      </c>
      <c r="AF189" s="1504">
        <f t="shared" si="151"/>
        <v>0.30390567685560493</v>
      </c>
      <c r="AG189" s="1504">
        <f t="shared" si="152"/>
        <v>4.7906159234893136E-2</v>
      </c>
      <c r="AH189" s="1504">
        <f t="shared" si="165"/>
        <v>0</v>
      </c>
      <c r="AI189" s="1504">
        <f t="shared" si="153"/>
        <v>0.25145131766112577</v>
      </c>
      <c r="AJ189" s="1504">
        <f t="shared" si="154"/>
        <v>1</v>
      </c>
      <c r="AK189" s="1555">
        <f t="shared" si="155"/>
        <v>29401.792768631756</v>
      </c>
      <c r="AL189" s="1556">
        <f t="shared" si="156"/>
        <v>0</v>
      </c>
      <c r="AM189" s="1556">
        <f t="shared" si="157"/>
        <v>0</v>
      </c>
      <c r="AN189" s="1556">
        <f t="shared" si="158"/>
        <v>29401.792768631756</v>
      </c>
      <c r="AO189" s="1543">
        <f t="shared" si="159"/>
        <v>0</v>
      </c>
    </row>
    <row r="190" spans="1:41">
      <c r="A190" s="100">
        <f>'Input data'!A130</f>
        <v>2030</v>
      </c>
      <c r="B190" s="1506">
        <f>'Input data'!B130</f>
        <v>65.956090000000003</v>
      </c>
      <c r="C190" s="1507">
        <f>'Input data'!C130</f>
        <v>5262.1824199605107</v>
      </c>
      <c r="D190" s="1507">
        <f>'Input data'!E130</f>
        <v>45521353.842330128</v>
      </c>
      <c r="E190" s="1508">
        <f>'Input data'!J130*C190</f>
        <v>63309.556791159332</v>
      </c>
      <c r="F190" s="1509">
        <f>'Input data'!L130</f>
        <v>108830.91063348946</v>
      </c>
      <c r="G190" s="1510">
        <f t="shared" si="168"/>
        <v>17794.324170380001</v>
      </c>
      <c r="H190" s="1509">
        <f t="shared" si="160"/>
        <v>61252.767719482319</v>
      </c>
      <c r="I190" s="1511">
        <f t="shared" si="135"/>
        <v>45521.353842330129</v>
      </c>
      <c r="J190" s="1504">
        <f>$H$19</f>
        <v>0.4</v>
      </c>
      <c r="K190" s="1512">
        <f t="shared" si="162"/>
        <v>15406.805150146254</v>
      </c>
      <c r="L190" s="1512">
        <f t="shared" si="136"/>
        <v>0</v>
      </c>
      <c r="M190" s="1511">
        <f t="shared" si="163"/>
        <v>15406.805150146254</v>
      </c>
      <c r="N190" s="1454">
        <f t="shared" si="169"/>
        <v>0.5</v>
      </c>
      <c r="O190" s="1511">
        <f t="shared" si="137"/>
        <v>751.91700000000026</v>
      </c>
      <c r="P190" s="1481">
        <f t="shared" si="166"/>
        <v>16158.722150146254</v>
      </c>
      <c r="Q190" s="1364">
        <f t="shared" si="138"/>
        <v>62888.369739716065</v>
      </c>
      <c r="R190" s="1364">
        <f t="shared" si="164"/>
        <v>45094.045569336064</v>
      </c>
      <c r="S190" s="1514">
        <f t="shared" si="139"/>
        <v>1.2675569638674462</v>
      </c>
      <c r="T190" s="135" t="str">
        <f t="shared" si="140"/>
        <v>No</v>
      </c>
      <c r="U190" s="1526">
        <f t="shared" si="141"/>
        <v>1</v>
      </c>
      <c r="V190" s="1494">
        <f t="shared" si="142"/>
        <v>73255.353199171484</v>
      </c>
      <c r="W190" s="1491">
        <f t="shared" si="134"/>
        <v>0.3268883557735357</v>
      </c>
      <c r="X190" s="527">
        <f t="shared" si="143"/>
        <v>27312.812305398078</v>
      </c>
      <c r="Y190" s="1509">
        <f t="shared" si="144"/>
        <v>23278.253165350783</v>
      </c>
      <c r="Z190" s="1531">
        <f t="shared" si="145"/>
        <v>3612.8440237006225</v>
      </c>
      <c r="AA190" s="1531">
        <f t="shared" si="146"/>
        <v>0</v>
      </c>
      <c r="AB190" s="1531">
        <f t="shared" si="147"/>
        <v>19051.443704722002</v>
      </c>
      <c r="AC190" s="1531">
        <f t="shared" si="148"/>
        <v>73255.353199171484</v>
      </c>
      <c r="AD190" s="1005">
        <f t="shared" si="149"/>
        <v>9518.4881350180767</v>
      </c>
      <c r="AE190" s="1454">
        <f t="shared" si="150"/>
        <v>0.3728439098660572</v>
      </c>
      <c r="AF190" s="1504">
        <f t="shared" si="151"/>
        <v>0.31776862916844223</v>
      </c>
      <c r="AG190" s="1504">
        <f t="shared" si="152"/>
        <v>4.9318498456730989E-2</v>
      </c>
      <c r="AH190" s="1504">
        <f t="shared" si="165"/>
        <v>0</v>
      </c>
      <c r="AI190" s="1504">
        <f t="shared" si="153"/>
        <v>0.2600689625087696</v>
      </c>
      <c r="AJ190" s="1504">
        <f t="shared" si="154"/>
        <v>1</v>
      </c>
      <c r="AK190" s="1555">
        <f t="shared" si="155"/>
        <v>27312.812305398074</v>
      </c>
      <c r="AL190" s="1556">
        <f t="shared" si="156"/>
        <v>0</v>
      </c>
      <c r="AM190" s="1556">
        <f t="shared" si="157"/>
        <v>0</v>
      </c>
      <c r="AN190" s="1556">
        <f t="shared" si="158"/>
        <v>27312.812305398074</v>
      </c>
      <c r="AO190" s="1543">
        <f t="shared" si="159"/>
        <v>0</v>
      </c>
    </row>
    <row r="191" spans="1:41">
      <c r="A191" s="100">
        <f>'Input data'!A131</f>
        <v>2031</v>
      </c>
      <c r="B191" s="1506">
        <f>'Input data'!B131</f>
        <v>66.518977190687664</v>
      </c>
      <c r="C191" s="1507">
        <f>'Input data'!C131</f>
        <v>5387.7672265735409</v>
      </c>
      <c r="D191" s="1507">
        <f>'Input data'!E131</f>
        <v>44085520.531554446</v>
      </c>
      <c r="E191" s="1508">
        <f>'Input data'!J131*C191</f>
        <v>64820.473329555214</v>
      </c>
      <c r="F191" s="1509">
        <f>'Input data'!L131</f>
        <v>108905.99386110966</v>
      </c>
      <c r="G191" s="1510">
        <f t="shared" si="168"/>
        <v>15741.132919951538</v>
      </c>
      <c r="H191" s="1509">
        <f t="shared" si="160"/>
        <v>62825.472619476619</v>
      </c>
      <c r="I191" s="1511">
        <f t="shared" si="135"/>
        <v>44085.520531554444</v>
      </c>
      <c r="J191" s="1504">
        <f>J190</f>
        <v>0.4</v>
      </c>
      <c r="K191" s="1512">
        <f t="shared" si="162"/>
        <v>14920.844119113835</v>
      </c>
      <c r="L191" s="1512">
        <f t="shared" si="136"/>
        <v>0</v>
      </c>
      <c r="M191" s="1511">
        <f t="shared" si="163"/>
        <v>14920.844119113835</v>
      </c>
      <c r="N191" s="1454">
        <f t="shared" si="169"/>
        <v>0.5</v>
      </c>
      <c r="O191" s="1511">
        <f t="shared" si="137"/>
        <v>751.91700000000026</v>
      </c>
      <c r="P191" s="1481">
        <f t="shared" si="166"/>
        <v>15672.761119113835</v>
      </c>
      <c r="Q191" s="1364">
        <f t="shared" si="138"/>
        <v>62893.844420314323</v>
      </c>
      <c r="R191" s="1364">
        <f t="shared" si="164"/>
        <v>47152.711500362784</v>
      </c>
      <c r="S191" s="1514">
        <f t="shared" si="139"/>
        <v>1.2938922951123659</v>
      </c>
      <c r="T191" s="135" t="str">
        <f t="shared" si="140"/>
        <v>No</v>
      </c>
      <c r="U191" s="1526">
        <f t="shared" si="141"/>
        <v>1</v>
      </c>
      <c r="V191" s="1494">
        <f t="shared" si="142"/>
        <v>72463.461759728001</v>
      </c>
      <c r="W191" s="1491">
        <f t="shared" si="134"/>
        <v>0.33462375034984448</v>
      </c>
      <c r="X191" s="527">
        <f t="shared" si="143"/>
        <v>26451.312318932665</v>
      </c>
      <c r="Y191" s="1509">
        <f t="shared" si="144"/>
        <v>22824.911228952824</v>
      </c>
      <c r="Z191" s="1531">
        <f t="shared" si="145"/>
        <v>3681.1215820084799</v>
      </c>
      <c r="AA191" s="1531">
        <f t="shared" si="146"/>
        <v>0</v>
      </c>
      <c r="AB191" s="1531">
        <f t="shared" si="147"/>
        <v>19506.116629834032</v>
      </c>
      <c r="AC191" s="1531">
        <f t="shared" si="148"/>
        <v>72463.461759728001</v>
      </c>
      <c r="AD191" s="1005">
        <f t="shared" si="149"/>
        <v>10710.179398981127</v>
      </c>
      <c r="AE191" s="1454">
        <f t="shared" si="150"/>
        <v>0.36502965324288633</v>
      </c>
      <c r="AF191" s="1504">
        <f t="shared" si="151"/>
        <v>0.31498510662704637</v>
      </c>
      <c r="AG191" s="1504">
        <f t="shared" si="152"/>
        <v>5.0799692598377695E-2</v>
      </c>
      <c r="AH191" s="1504">
        <f t="shared" si="165"/>
        <v>0</v>
      </c>
      <c r="AI191" s="1504">
        <f t="shared" si="153"/>
        <v>0.26918554753168961</v>
      </c>
      <c r="AJ191" s="1504">
        <f t="shared" si="154"/>
        <v>1</v>
      </c>
      <c r="AK191" s="1555">
        <f t="shared" si="155"/>
        <v>26451.312318932665</v>
      </c>
      <c r="AL191" s="1556">
        <f t="shared" si="156"/>
        <v>0</v>
      </c>
      <c r="AM191" s="1556">
        <f t="shared" si="157"/>
        <v>0</v>
      </c>
      <c r="AN191" s="1556">
        <f t="shared" si="158"/>
        <v>26451.312318932665</v>
      </c>
      <c r="AO191" s="1543">
        <f t="shared" si="159"/>
        <v>0</v>
      </c>
    </row>
    <row r="192" spans="1:41">
      <c r="A192" s="100">
        <f>'Input data'!A132</f>
        <v>2032</v>
      </c>
      <c r="B192" s="1506">
        <f>'Input data'!B132</f>
        <v>67.08666821358311</v>
      </c>
      <c r="C192" s="1507">
        <f>'Input data'!C132</f>
        <v>5535.3993263804541</v>
      </c>
      <c r="D192" s="1507">
        <f>'Input data'!E132</f>
        <v>41932973.31689404</v>
      </c>
      <c r="E192" s="1508">
        <f>'Input data'!J132*C192</f>
        <v>66596.641858314426</v>
      </c>
      <c r="F192" s="1509">
        <f>'Input data'!L132</f>
        <v>108529.61517520846</v>
      </c>
      <c r="G192" s="1510">
        <f>G177*(1-E6)</f>
        <v>13687.941669523079</v>
      </c>
      <c r="H192" s="1509">
        <f t="shared" si="160"/>
        <v>63877.77921618559</v>
      </c>
      <c r="I192" s="1511">
        <f t="shared" si="135"/>
        <v>41932.973316894037</v>
      </c>
      <c r="J192" s="1504">
        <f t="shared" ref="J192:J210" si="170">J191</f>
        <v>0.4</v>
      </c>
      <c r="K192" s="1512">
        <f t="shared" si="162"/>
        <v>14192.309646531345</v>
      </c>
      <c r="L192" s="1512">
        <f t="shared" si="136"/>
        <v>0</v>
      </c>
      <c r="M192" s="1511">
        <f t="shared" si="163"/>
        <v>14192.309646531345</v>
      </c>
      <c r="N192" s="1454">
        <f t="shared" si="169"/>
        <v>0.5</v>
      </c>
      <c r="O192" s="1511">
        <f t="shared" si="137"/>
        <v>751.91700000000026</v>
      </c>
      <c r="P192" s="1481">
        <f t="shared" si="166"/>
        <v>14944.226646531344</v>
      </c>
      <c r="Q192" s="1364">
        <f t="shared" si="138"/>
        <v>62621.494239177322</v>
      </c>
      <c r="R192" s="1364">
        <f t="shared" si="164"/>
        <v>48933.552569654246</v>
      </c>
      <c r="S192" s="1514">
        <f t="shared" si="139"/>
        <v>1.3062284728686953</v>
      </c>
      <c r="T192" s="135" t="str">
        <f t="shared" si="140"/>
        <v>No</v>
      </c>
      <c r="U192" s="1526">
        <f t="shared" si="141"/>
        <v>1</v>
      </c>
      <c r="V192" s="1494">
        <f t="shared" si="142"/>
        <v>71067.904926167583</v>
      </c>
      <c r="W192" s="1491">
        <f t="shared" si="134"/>
        <v>0.34517500304929016</v>
      </c>
      <c r="X192" s="527">
        <f t="shared" si="143"/>
        <v>25159.78399013642</v>
      </c>
      <c r="Y192" s="1509">
        <f t="shared" si="144"/>
        <v>22106.124617340491</v>
      </c>
      <c r="Z192" s="1531">
        <f t="shared" si="145"/>
        <v>3761.3857443265993</v>
      </c>
      <c r="AA192" s="1531">
        <f t="shared" si="146"/>
        <v>0</v>
      </c>
      <c r="AB192" s="1531">
        <f t="shared" si="147"/>
        <v>20040.610574364066</v>
      </c>
      <c r="AC192" s="1531">
        <f t="shared" si="148"/>
        <v>71067.904926167583</v>
      </c>
      <c r="AD192" s="1005">
        <f t="shared" si="149"/>
        <v>11471.842320613341</v>
      </c>
      <c r="AE192" s="1454">
        <f t="shared" si="150"/>
        <v>0.35402456307491981</v>
      </c>
      <c r="AF192" s="1504">
        <f t="shared" si="151"/>
        <v>0.31105637123124052</v>
      </c>
      <c r="AG192" s="1504">
        <f t="shared" si="152"/>
        <v>5.2926644569504355E-2</v>
      </c>
      <c r="AH192" s="1504">
        <f t="shared" si="165"/>
        <v>0</v>
      </c>
      <c r="AI192" s="1504">
        <f t="shared" si="153"/>
        <v>0.2819924211243352</v>
      </c>
      <c r="AJ192" s="1504">
        <f t="shared" si="154"/>
        <v>0.99999999999999989</v>
      </c>
      <c r="AK192" s="1555">
        <f t="shared" si="155"/>
        <v>25159.78399013642</v>
      </c>
      <c r="AL192" s="1556">
        <f t="shared" si="156"/>
        <v>0</v>
      </c>
      <c r="AM192" s="1556">
        <f t="shared" si="157"/>
        <v>0</v>
      </c>
      <c r="AN192" s="1556">
        <f t="shared" si="158"/>
        <v>25159.78399013642</v>
      </c>
      <c r="AO192" s="1543">
        <f t="shared" si="159"/>
        <v>0</v>
      </c>
    </row>
    <row r="193" spans="1:41">
      <c r="A193" s="100">
        <f>'Input data'!A133</f>
        <v>2033</v>
      </c>
      <c r="B193" s="1506">
        <f>'Input data'!B133</f>
        <v>67.659204065895452</v>
      </c>
      <c r="C193" s="1507">
        <f>'Input data'!C133</f>
        <v>5694.7516404688276</v>
      </c>
      <c r="D193" s="1507">
        <f>'Input data'!E133</f>
        <v>41056214.022582531</v>
      </c>
      <c r="E193" s="1508">
        <f>'Input data'!J133*C193</f>
        <v>68513.816819849919</v>
      </c>
      <c r="F193" s="1509">
        <f>'Input data'!L133</f>
        <v>109570.03084243245</v>
      </c>
      <c r="G193" s="1510">
        <f>G192</f>
        <v>13687.941669523079</v>
      </c>
      <c r="H193" s="1509">
        <f t="shared" si="160"/>
        <v>64155.071116446576</v>
      </c>
      <c r="I193" s="1511">
        <f t="shared" si="135"/>
        <v>41056.214022582528</v>
      </c>
      <c r="J193" s="1504">
        <f t="shared" si="170"/>
        <v>0.4</v>
      </c>
      <c r="K193" s="1512">
        <f t="shared" si="162"/>
        <v>13895.568480663906</v>
      </c>
      <c r="L193" s="1512">
        <f t="shared" si="136"/>
        <v>0</v>
      </c>
      <c r="M193" s="1511">
        <f t="shared" si="163"/>
        <v>13895.568480663906</v>
      </c>
      <c r="N193" s="1454">
        <f t="shared" si="169"/>
        <v>0.5</v>
      </c>
      <c r="O193" s="1511">
        <f t="shared" si="137"/>
        <v>751.91700000000026</v>
      </c>
      <c r="P193" s="1481">
        <f t="shared" si="166"/>
        <v>14647.485480663905</v>
      </c>
      <c r="Q193" s="1364">
        <f t="shared" si="138"/>
        <v>63195.527305305746</v>
      </c>
      <c r="R193" s="1364">
        <f t="shared" si="164"/>
        <v>49507.585635782671</v>
      </c>
      <c r="S193" s="1514">
        <f t="shared" si="139"/>
        <v>1.283850521982947</v>
      </c>
      <c r="T193" s="135" t="str">
        <f t="shared" si="140"/>
        <v>No</v>
      </c>
      <c r="U193" s="1526">
        <f t="shared" si="141"/>
        <v>1</v>
      </c>
      <c r="V193" s="1494">
        <f t="shared" si="142"/>
        <v>71008.231950676243</v>
      </c>
      <c r="W193" s="1491">
        <f t="shared" si="134"/>
        <v>0.35193746497352119</v>
      </c>
      <c r="X193" s="527">
        <f t="shared" si="143"/>
        <v>24633.728413549517</v>
      </c>
      <c r="Y193" s="1509">
        <f t="shared" si="144"/>
        <v>21908.944706902541</v>
      </c>
      <c r="Z193" s="1531">
        <f t="shared" si="145"/>
        <v>3848.0219164089949</v>
      </c>
      <c r="AA193" s="1531">
        <f t="shared" si="146"/>
        <v>0</v>
      </c>
      <c r="AB193" s="1531">
        <f t="shared" si="147"/>
        <v>20617.53691381518</v>
      </c>
      <c r="AC193" s="1531">
        <f t="shared" si="148"/>
        <v>71008.231950676243</v>
      </c>
      <c r="AD193" s="1005">
        <f t="shared" si="149"/>
        <v>10945.786744026438</v>
      </c>
      <c r="AE193" s="1454">
        <f t="shared" si="150"/>
        <v>0.3469136991139366</v>
      </c>
      <c r="AF193" s="1504">
        <f t="shared" si="151"/>
        <v>0.30854091286374991</v>
      </c>
      <c r="AG193" s="1504">
        <f t="shared" si="152"/>
        <v>5.4191208690872752E-2</v>
      </c>
      <c r="AH193" s="1504">
        <f t="shared" si="165"/>
        <v>0</v>
      </c>
      <c r="AI193" s="1504">
        <f t="shared" si="153"/>
        <v>0.29035417933144059</v>
      </c>
      <c r="AJ193" s="1504">
        <f t="shared" si="154"/>
        <v>0.99999999999999989</v>
      </c>
      <c r="AK193" s="1555">
        <f t="shared" si="155"/>
        <v>24633.728413549521</v>
      </c>
      <c r="AL193" s="1556">
        <f t="shared" si="156"/>
        <v>0</v>
      </c>
      <c r="AM193" s="1556">
        <f t="shared" si="157"/>
        <v>0</v>
      </c>
      <c r="AN193" s="1556">
        <f t="shared" si="158"/>
        <v>24633.728413549521</v>
      </c>
      <c r="AO193" s="1543">
        <f t="shared" si="159"/>
        <v>0</v>
      </c>
    </row>
    <row r="194" spans="1:41">
      <c r="A194" s="100">
        <f>'Input data'!A134</f>
        <v>2034</v>
      </c>
      <c r="B194" s="1506">
        <f>'Input data'!B134</f>
        <v>68.236626094715163</v>
      </c>
      <c r="C194" s="1507">
        <f>'Input data'!C134</f>
        <v>5880.7243334969316</v>
      </c>
      <c r="D194" s="1507">
        <f>'Input data'!E134</f>
        <v>40488564.369250603</v>
      </c>
      <c r="E194" s="1508">
        <f>'Input data'!J134*C194</f>
        <v>70751.262775012379</v>
      </c>
      <c r="F194" s="1509">
        <f>'Input data'!L134</f>
        <v>111239.82714426299</v>
      </c>
      <c r="G194" s="1510">
        <f t="shared" ref="G194:G210" si="171">G193</f>
        <v>13687.941669523079</v>
      </c>
      <c r="H194" s="1509">
        <f t="shared" si="160"/>
        <v>64906.221434696068</v>
      </c>
      <c r="I194" s="1511">
        <f t="shared" si="135"/>
        <v>40488.564369250606</v>
      </c>
      <c r="J194" s="1504">
        <f t="shared" si="170"/>
        <v>0.4</v>
      </c>
      <c r="K194" s="1512">
        <f t="shared" si="162"/>
        <v>13703.446171808049</v>
      </c>
      <c r="L194" s="1512">
        <f t="shared" si="136"/>
        <v>0</v>
      </c>
      <c r="M194" s="1511">
        <f t="shared" si="163"/>
        <v>13703.446171808049</v>
      </c>
      <c r="N194" s="1454">
        <f t="shared" si="169"/>
        <v>0.5</v>
      </c>
      <c r="O194" s="1511">
        <f t="shared" si="137"/>
        <v>751.91700000000026</v>
      </c>
      <c r="P194" s="1481">
        <f t="shared" si="166"/>
        <v>14455.363171808049</v>
      </c>
      <c r="Q194" s="1364">
        <f t="shared" si="138"/>
        <v>64138.799932411093</v>
      </c>
      <c r="R194" s="1364">
        <f t="shared" si="164"/>
        <v>50450.85826288801</v>
      </c>
      <c r="S194" s="1514">
        <f t="shared" si="139"/>
        <v>1.2661568814052191</v>
      </c>
      <c r="T194" s="135" t="str">
        <f t="shared" si="140"/>
        <v>No</v>
      </c>
      <c r="U194" s="1526">
        <f t="shared" si="141"/>
        <v>1</v>
      </c>
      <c r="V194" s="1494">
        <f t="shared" si="142"/>
        <v>71394.16583340225</v>
      </c>
      <c r="W194" s="1491">
        <f t="shared" si="134"/>
        <v>0.35819600168190047</v>
      </c>
      <c r="X194" s="527">
        <f t="shared" si="143"/>
        <v>24293.138621550363</v>
      </c>
      <c r="Y194" s="1509">
        <f t="shared" si="144"/>
        <v>21861.055358708316</v>
      </c>
      <c r="Z194" s="1531">
        <f t="shared" si="145"/>
        <v>3949.1309735819841</v>
      </c>
      <c r="AA194" s="1531">
        <f t="shared" si="146"/>
        <v>0</v>
      </c>
      <c r="AB194" s="1531">
        <f t="shared" si="147"/>
        <v>21290.840879561598</v>
      </c>
      <c r="AC194" s="1531">
        <f t="shared" si="148"/>
        <v>71394.16583340225</v>
      </c>
      <c r="AD194" s="1005">
        <f t="shared" si="149"/>
        <v>10605.196952027283</v>
      </c>
      <c r="AE194" s="1454">
        <f t="shared" si="150"/>
        <v>0.34026784034760232</v>
      </c>
      <c r="AF194" s="1504">
        <f t="shared" si="151"/>
        <v>0.30620226601877981</v>
      </c>
      <c r="AG194" s="1504">
        <f t="shared" si="152"/>
        <v>5.5314477415385054E-2</v>
      </c>
      <c r="AH194" s="1504">
        <f t="shared" si="165"/>
        <v>0</v>
      </c>
      <c r="AI194" s="1504">
        <f t="shared" si="153"/>
        <v>0.29821541621823294</v>
      </c>
      <c r="AJ194" s="1504">
        <f t="shared" si="154"/>
        <v>1.0000000000000002</v>
      </c>
      <c r="AK194" s="1555">
        <f t="shared" si="155"/>
        <v>24293.138621550359</v>
      </c>
      <c r="AL194" s="1556">
        <f t="shared" si="156"/>
        <v>0</v>
      </c>
      <c r="AM194" s="1556">
        <f t="shared" si="157"/>
        <v>0</v>
      </c>
      <c r="AN194" s="1556">
        <f t="shared" si="158"/>
        <v>24293.138621550359</v>
      </c>
      <c r="AO194" s="1543">
        <f t="shared" si="159"/>
        <v>0</v>
      </c>
    </row>
    <row r="195" spans="1:41">
      <c r="A195" s="100">
        <f>'Input data'!A135</f>
        <v>2035</v>
      </c>
      <c r="B195" s="1506">
        <f>'Input data'!B135</f>
        <v>68.818976000000006</v>
      </c>
      <c r="C195" s="1507">
        <f>'Input data'!C135</f>
        <v>6030.7021264561972</v>
      </c>
      <c r="D195" s="1507">
        <f>'Input data'!E135</f>
        <v>31941700.142198853</v>
      </c>
      <c r="E195" s="1508">
        <f>'Input data'!J135*C195</f>
        <v>72555.652445114043</v>
      </c>
      <c r="F195" s="1509">
        <f>'Input data'!L135</f>
        <v>104497.3525873129</v>
      </c>
      <c r="G195" s="1510">
        <f t="shared" si="171"/>
        <v>13687.941669523079</v>
      </c>
      <c r="H195" s="1509">
        <f t="shared" si="160"/>
        <v>57920.769012387973</v>
      </c>
      <c r="I195" s="1511">
        <f t="shared" si="135"/>
        <v>31941.700142198853</v>
      </c>
      <c r="J195" s="1504">
        <f t="shared" si="170"/>
        <v>0.4</v>
      </c>
      <c r="K195" s="1512">
        <f t="shared" si="162"/>
        <v>10810.740646242306</v>
      </c>
      <c r="L195" s="1512">
        <f t="shared" si="136"/>
        <v>0</v>
      </c>
      <c r="M195" s="1511">
        <f t="shared" si="163"/>
        <v>10810.740646242306</v>
      </c>
      <c r="N195" s="1454">
        <f t="shared" si="169"/>
        <v>0.5</v>
      </c>
      <c r="O195" s="1511">
        <f t="shared" si="137"/>
        <v>751.91700000000026</v>
      </c>
      <c r="P195" s="1481">
        <f t="shared" si="166"/>
        <v>11562.657646242305</v>
      </c>
      <c r="Q195" s="1364">
        <f t="shared" si="138"/>
        <v>60046.053035668745</v>
      </c>
      <c r="R195" s="1364">
        <f t="shared" si="164"/>
        <v>46358.111366145662</v>
      </c>
      <c r="S195" s="1514">
        <f t="shared" si="139"/>
        <v>1.1339760280139746</v>
      </c>
      <c r="T195" s="135" t="str">
        <f t="shared" si="140"/>
        <v>No</v>
      </c>
      <c r="U195" s="1526">
        <f t="shared" si="141"/>
        <v>1</v>
      </c>
      <c r="V195" s="1494">
        <f t="shared" si="142"/>
        <v>63616.319636963475</v>
      </c>
      <c r="W195" s="1491">
        <f t="shared" si="134"/>
        <v>0.39121596804274272</v>
      </c>
      <c r="X195" s="527">
        <f t="shared" si="143"/>
        <v>19165.020085319313</v>
      </c>
      <c r="Y195" s="1509">
        <f t="shared" si="144"/>
        <v>18586.801838680862</v>
      </c>
      <c r="Z195" s="1531">
        <f t="shared" si="145"/>
        <v>4030.6704350808041</v>
      </c>
      <c r="AA195" s="1531">
        <f t="shared" si="146"/>
        <v>0</v>
      </c>
      <c r="AB195" s="1531">
        <f t="shared" si="147"/>
        <v>21833.82727788249</v>
      </c>
      <c r="AC195" s="1531">
        <f t="shared" si="148"/>
        <v>63616.319636963475</v>
      </c>
      <c r="AD195" s="1005">
        <f t="shared" si="149"/>
        <v>5477.0784157962335</v>
      </c>
      <c r="AE195" s="1454">
        <f t="shared" si="150"/>
        <v>0.30125949119168655</v>
      </c>
      <c r="AF195" s="1504">
        <f t="shared" si="151"/>
        <v>0.292170341584508</v>
      </c>
      <c r="AG195" s="1504">
        <f t="shared" si="152"/>
        <v>6.3359063493180032E-2</v>
      </c>
      <c r="AH195" s="1504">
        <f t="shared" si="165"/>
        <v>0</v>
      </c>
      <c r="AI195" s="1504">
        <f t="shared" si="153"/>
        <v>0.34321110373062536</v>
      </c>
      <c r="AJ195" s="1504">
        <f t="shared" si="154"/>
        <v>0.99999999999999989</v>
      </c>
      <c r="AK195" s="1555">
        <f t="shared" si="155"/>
        <v>19165.020085319309</v>
      </c>
      <c r="AL195" s="1556">
        <f t="shared" si="156"/>
        <v>0</v>
      </c>
      <c r="AM195" s="1556">
        <f t="shared" si="157"/>
        <v>0</v>
      </c>
      <c r="AN195" s="1556">
        <f t="shared" si="158"/>
        <v>19165.020085319309</v>
      </c>
      <c r="AO195" s="1543">
        <f t="shared" si="159"/>
        <v>0</v>
      </c>
    </row>
    <row r="196" spans="1:41">
      <c r="A196" s="100">
        <f>'Input data'!A136</f>
        <v>2036</v>
      </c>
      <c r="B196" s="1506">
        <f>'Input data'!B136</f>
        <v>69.322810489383542</v>
      </c>
      <c r="C196" s="1507">
        <f>'Input data'!C136</f>
        <v>6175.9287194301432</v>
      </c>
      <c r="D196" s="1507">
        <f>'Input data'!E136</f>
        <v>22500187.169642892</v>
      </c>
      <c r="E196" s="1508">
        <f>'Input data'!J136*C196</f>
        <v>74302.880211410215</v>
      </c>
      <c r="F196" s="1509">
        <f>'Input data'!L136</f>
        <v>96803.067381053115</v>
      </c>
      <c r="G196" s="1510">
        <f t="shared" si="171"/>
        <v>13687.941669523079</v>
      </c>
      <c r="H196" s="1509">
        <f t="shared" si="160"/>
        <v>50062.931544317005</v>
      </c>
      <c r="I196" s="1511">
        <f t="shared" si="135"/>
        <v>22500.187169642893</v>
      </c>
      <c r="J196" s="1504">
        <f t="shared" si="170"/>
        <v>0.4</v>
      </c>
      <c r="K196" s="1512">
        <f t="shared" si="162"/>
        <v>7615.2392295976661</v>
      </c>
      <c r="L196" s="1512">
        <f t="shared" si="136"/>
        <v>0</v>
      </c>
      <c r="M196" s="1511">
        <f t="shared" si="163"/>
        <v>7615.2392295976661</v>
      </c>
      <c r="N196" s="1454">
        <f t="shared" si="169"/>
        <v>0.5</v>
      </c>
      <c r="O196" s="1511">
        <f t="shared" si="137"/>
        <v>751.91700000000026</v>
      </c>
      <c r="P196" s="1481">
        <f t="shared" si="166"/>
        <v>8367.1562295976655</v>
      </c>
      <c r="Q196" s="1364">
        <f t="shared" si="138"/>
        <v>55383.716984242419</v>
      </c>
      <c r="R196" s="1364">
        <f t="shared" si="164"/>
        <v>41695.775314719343</v>
      </c>
      <c r="S196" s="1514">
        <f t="shared" si="139"/>
        <v>0.99551544407026604</v>
      </c>
      <c r="T196" s="135" t="str">
        <f t="shared" si="140"/>
        <v>Yes</v>
      </c>
      <c r="U196" s="1526">
        <f t="shared" si="141"/>
        <v>0.99551544407026604</v>
      </c>
      <c r="V196" s="1494">
        <f t="shared" si="142"/>
        <v>55107.292066333779</v>
      </c>
      <c r="W196" s="1491">
        <f t="shared" si="134"/>
        <v>0.43072783169761708</v>
      </c>
      <c r="X196" s="527">
        <f t="shared" si="143"/>
        <v>13687.941669523079</v>
      </c>
      <c r="Y196" s="1509">
        <f t="shared" si="144"/>
        <v>14950.11140144718</v>
      </c>
      <c r="Z196" s="1531">
        <f t="shared" si="145"/>
        <v>4109.6267789017866</v>
      </c>
      <c r="AA196" s="1531">
        <f t="shared" si="146"/>
        <v>0</v>
      </c>
      <c r="AB196" s="1531">
        <f t="shared" si="147"/>
        <v>22359.612216461734</v>
      </c>
      <c r="AC196" s="1531">
        <f t="shared" si="148"/>
        <v>55107.292066333779</v>
      </c>
      <c r="AD196" s="1005">
        <f t="shared" si="149"/>
        <v>0</v>
      </c>
      <c r="AE196" s="1454">
        <f t="shared" si="150"/>
        <v>0.24838712185397574</v>
      </c>
      <c r="AF196" s="1504">
        <f t="shared" si="151"/>
        <v>0.27129098238852717</v>
      </c>
      <c r="AG196" s="1504">
        <f t="shared" si="152"/>
        <v>7.4575008584253144E-2</v>
      </c>
      <c r="AH196" s="1504">
        <f t="shared" si="165"/>
        <v>0</v>
      </c>
      <c r="AI196" s="1504">
        <f t="shared" si="153"/>
        <v>0.40574688717324398</v>
      </c>
      <c r="AJ196" s="1504">
        <f t="shared" si="154"/>
        <v>1</v>
      </c>
      <c r="AK196" s="1555">
        <f t="shared" si="155"/>
        <v>13500.112301785734</v>
      </c>
      <c r="AL196" s="1556">
        <f t="shared" si="156"/>
        <v>177.84116336312255</v>
      </c>
      <c r="AM196" s="1556">
        <f t="shared" si="157"/>
        <v>9.9882043742214659</v>
      </c>
      <c r="AN196" s="1556">
        <f t="shared" si="158"/>
        <v>13687.941669523078</v>
      </c>
      <c r="AO196" s="1543">
        <f t="shared" si="159"/>
        <v>0</v>
      </c>
    </row>
    <row r="197" spans="1:41">
      <c r="A197" s="100">
        <f>'Input data'!A137</f>
        <v>2037</v>
      </c>
      <c r="B197" s="1506">
        <f>'Input data'!B137</f>
        <v>69.830333629884052</v>
      </c>
      <c r="C197" s="1507">
        <f>'Input data'!C137</f>
        <v>6338.2033947034479</v>
      </c>
      <c r="D197" s="1507">
        <f>'Input data'!E137</f>
        <v>17781297.212015409</v>
      </c>
      <c r="E197" s="1508">
        <f>'Input data'!J137*C197</f>
        <v>76255.214233699648</v>
      </c>
      <c r="F197" s="1509">
        <f>'Input data'!L137</f>
        <v>94036.511445715063</v>
      </c>
      <c r="G197" s="1510">
        <f t="shared" si="171"/>
        <v>13687.941669523079</v>
      </c>
      <c r="H197" s="1509">
        <f t="shared" si="160"/>
        <v>46754.741754360221</v>
      </c>
      <c r="I197" s="1511">
        <f t="shared" si="135"/>
        <v>17781.297212015408</v>
      </c>
      <c r="J197" s="1504">
        <f t="shared" si="170"/>
        <v>0.4</v>
      </c>
      <c r="K197" s="1512">
        <f t="shared" si="162"/>
        <v>6018.1202521180821</v>
      </c>
      <c r="L197" s="1512">
        <f t="shared" si="136"/>
        <v>0</v>
      </c>
      <c r="M197" s="1511">
        <f t="shared" si="163"/>
        <v>6018.1202521180821</v>
      </c>
      <c r="N197" s="1454">
        <f t="shared" si="169"/>
        <v>0.5</v>
      </c>
      <c r="O197" s="1511">
        <f t="shared" si="137"/>
        <v>751.91700000000026</v>
      </c>
      <c r="P197" s="1481">
        <f t="shared" si="166"/>
        <v>6770.0372521180825</v>
      </c>
      <c r="Q197" s="1364">
        <f t="shared" si="138"/>
        <v>53672.646171765213</v>
      </c>
      <c r="R197" s="1364">
        <f t="shared" si="164"/>
        <v>39984.704502242137</v>
      </c>
      <c r="S197" s="1514">
        <f t="shared" si="139"/>
        <v>0.92979321410745985</v>
      </c>
      <c r="T197" s="135" t="str">
        <f t="shared" si="140"/>
        <v>Yes</v>
      </c>
      <c r="U197" s="1526">
        <f t="shared" si="141"/>
        <v>0.92979321410745985</v>
      </c>
      <c r="V197" s="1494">
        <f t="shared" si="142"/>
        <v>54051.806943472926</v>
      </c>
      <c r="W197" s="1491">
        <f t="shared" si="134"/>
        <v>0.42520403923452976</v>
      </c>
      <c r="X197" s="527">
        <f t="shared" si="143"/>
        <v>13687.941669523076</v>
      </c>
      <c r="Y197" s="1509">
        <f t="shared" si="144"/>
        <v>13218.894697914573</v>
      </c>
      <c r="Z197" s="1531">
        <f t="shared" si="145"/>
        <v>4197.8517712529874</v>
      </c>
      <c r="AA197" s="1531">
        <f t="shared" si="146"/>
        <v>0</v>
      </c>
      <c r="AB197" s="1531">
        <f t="shared" si="147"/>
        <v>22947.118804782291</v>
      </c>
      <c r="AC197" s="1531">
        <f t="shared" si="148"/>
        <v>54051.806943472926</v>
      </c>
      <c r="AD197" s="1005">
        <f t="shared" si="149"/>
        <v>0</v>
      </c>
      <c r="AE197" s="1454">
        <f t="shared" si="150"/>
        <v>0.25323744835834716</v>
      </c>
      <c r="AF197" s="1504">
        <f t="shared" si="151"/>
        <v>0.24455971863695175</v>
      </c>
      <c r="AG197" s="1504">
        <f t="shared" si="152"/>
        <v>7.7663486359356632E-2</v>
      </c>
      <c r="AH197" s="1504">
        <f t="shared" si="165"/>
        <v>0</v>
      </c>
      <c r="AI197" s="1504">
        <f t="shared" si="153"/>
        <v>0.42453934664534448</v>
      </c>
      <c r="AJ197" s="1504">
        <f t="shared" si="154"/>
        <v>1</v>
      </c>
      <c r="AK197" s="1555">
        <f t="shared" si="155"/>
        <v>10668.778327209246</v>
      </c>
      <c r="AL197" s="1556">
        <f t="shared" si="156"/>
        <v>2857.2999527165493</v>
      </c>
      <c r="AM197" s="1556">
        <f t="shared" si="157"/>
        <v>161.86338959728286</v>
      </c>
      <c r="AN197" s="1556">
        <f t="shared" si="158"/>
        <v>13687.941669523078</v>
      </c>
      <c r="AO197" s="1543">
        <f t="shared" si="159"/>
        <v>0</v>
      </c>
    </row>
    <row r="198" spans="1:41">
      <c r="A198" s="100">
        <f>'Input data'!A138</f>
        <v>2038</v>
      </c>
      <c r="B198" s="1506">
        <f>'Input data'!B138</f>
        <v>70.341572426693446</v>
      </c>
      <c r="C198" s="1507">
        <f>'Input data'!C138</f>
        <v>6499.2753713641341</v>
      </c>
      <c r="D198" s="1507">
        <f>'Input data'!E138</f>
        <v>14837853.800490763</v>
      </c>
      <c r="E198" s="1508">
        <f>'Input data'!J138*C198</f>
        <v>78193.078534105356</v>
      </c>
      <c r="F198" s="1509">
        <f>'Input data'!L138</f>
        <v>93030.932334596117</v>
      </c>
      <c r="G198" s="1510">
        <f t="shared" si="171"/>
        <v>13687.941669523079</v>
      </c>
      <c r="H198" s="1509">
        <f t="shared" si="160"/>
        <v>45104.420961159514</v>
      </c>
      <c r="I198" s="1511">
        <f t="shared" si="135"/>
        <v>14837.853800490762</v>
      </c>
      <c r="J198" s="1504">
        <f t="shared" si="170"/>
        <v>0.4</v>
      </c>
      <c r="K198" s="1512">
        <f t="shared" si="162"/>
        <v>5021.9051731704076</v>
      </c>
      <c r="L198" s="1512">
        <f t="shared" si="136"/>
        <v>0</v>
      </c>
      <c r="M198" s="1511">
        <f t="shared" si="163"/>
        <v>5021.9051731704076</v>
      </c>
      <c r="N198" s="1454">
        <f t="shared" si="169"/>
        <v>0.5</v>
      </c>
      <c r="O198" s="1511">
        <f t="shared" si="137"/>
        <v>751.91700000000026</v>
      </c>
      <c r="P198" s="1481">
        <f t="shared" si="166"/>
        <v>5773.822173170408</v>
      </c>
      <c r="Q198" s="1364">
        <f t="shared" si="138"/>
        <v>53018.540457512179</v>
      </c>
      <c r="R198" s="1364">
        <f t="shared" si="164"/>
        <v>39330.598787989104</v>
      </c>
      <c r="S198" s="1514">
        <f t="shared" si="139"/>
        <v>0.89153032852503933</v>
      </c>
      <c r="T198" s="135" t="str">
        <f t="shared" si="140"/>
        <v>Yes</v>
      </c>
      <c r="U198" s="1526">
        <f t="shared" si="141"/>
        <v>0.89153032852503933</v>
      </c>
      <c r="V198" s="1494">
        <f t="shared" si="142"/>
        <v>53700.333546607028</v>
      </c>
      <c r="W198" s="1491">
        <f t="shared" si="134"/>
        <v>0.42276904897106915</v>
      </c>
      <c r="X198" s="527">
        <f t="shared" si="143"/>
        <v>13687.941669523078</v>
      </c>
      <c r="Y198" s="1509">
        <f t="shared" si="144"/>
        <v>12196.697904390883</v>
      </c>
      <c r="Z198" s="1531">
        <f t="shared" si="145"/>
        <v>4285.4228841512158</v>
      </c>
      <c r="AA198" s="1531">
        <f t="shared" si="146"/>
        <v>0</v>
      </c>
      <c r="AB198" s="1531">
        <f t="shared" si="147"/>
        <v>23530.271088541846</v>
      </c>
      <c r="AC198" s="1531">
        <f t="shared" si="148"/>
        <v>53700.333546607028</v>
      </c>
      <c r="AD198" s="1005">
        <f t="shared" si="149"/>
        <v>0</v>
      </c>
      <c r="AE198" s="1454">
        <f t="shared" si="150"/>
        <v>0.25489490968697959</v>
      </c>
      <c r="AF198" s="1504">
        <f t="shared" si="151"/>
        <v>0.22712517965657053</v>
      </c>
      <c r="AG198" s="1504">
        <f t="shared" si="152"/>
        <v>7.9802537547217597E-2</v>
      </c>
      <c r="AH198" s="1504">
        <f t="shared" si="165"/>
        <v>0</v>
      </c>
      <c r="AI198" s="1504">
        <f t="shared" si="153"/>
        <v>0.43817737310923222</v>
      </c>
      <c r="AJ198" s="1504">
        <f t="shared" si="154"/>
        <v>0.99999999999999989</v>
      </c>
      <c r="AK198" s="1555">
        <f t="shared" si="155"/>
        <v>8902.7122802944559</v>
      </c>
      <c r="AL198" s="1556">
        <f t="shared" si="156"/>
        <v>4526.7221055766722</v>
      </c>
      <c r="AM198" s="1556">
        <f t="shared" si="157"/>
        <v>258.50728365194686</v>
      </c>
      <c r="AN198" s="1556">
        <f t="shared" si="158"/>
        <v>13687.941669523076</v>
      </c>
      <c r="AO198" s="1543">
        <f t="shared" si="159"/>
        <v>0</v>
      </c>
    </row>
    <row r="199" spans="1:41">
      <c r="A199" s="100">
        <f>'Input data'!A139</f>
        <v>2039</v>
      </c>
      <c r="B199" s="1506">
        <f>'Input data'!B139</f>
        <v>70.856554082712819</v>
      </c>
      <c r="C199" s="1507">
        <f>'Input data'!C139</f>
        <v>6668.6889746882025</v>
      </c>
      <c r="D199" s="1507">
        <f>'Input data'!E139</f>
        <v>11894410.388966125</v>
      </c>
      <c r="E199" s="1508">
        <f>'Input data'!J139*C199</f>
        <v>80231.30132550007</v>
      </c>
      <c r="F199" s="1509">
        <f>'Input data'!L139</f>
        <v>92125.71171446619</v>
      </c>
      <c r="G199" s="1510">
        <f t="shared" si="171"/>
        <v>13687.941669523079</v>
      </c>
      <c r="H199" s="1509">
        <f t="shared" si="160"/>
        <v>43511.68658461461</v>
      </c>
      <c r="I199" s="1511">
        <f t="shared" si="135"/>
        <v>11894.410388966124</v>
      </c>
      <c r="J199" s="1504">
        <f t="shared" si="170"/>
        <v>0.4</v>
      </c>
      <c r="K199" s="1512">
        <f t="shared" si="162"/>
        <v>4025.6900942227339</v>
      </c>
      <c r="L199" s="1512">
        <f t="shared" si="136"/>
        <v>0</v>
      </c>
      <c r="M199" s="1511">
        <f t="shared" si="163"/>
        <v>4025.6900942227339</v>
      </c>
      <c r="N199" s="1454">
        <f t="shared" si="169"/>
        <v>0.5</v>
      </c>
      <c r="O199" s="1511">
        <f t="shared" si="137"/>
        <v>751.91700000000026</v>
      </c>
      <c r="P199" s="1481">
        <f t="shared" si="166"/>
        <v>4777.6070942227343</v>
      </c>
      <c r="Q199" s="1364">
        <f t="shared" si="138"/>
        <v>52422.021159914962</v>
      </c>
      <c r="R199" s="1364">
        <f t="shared" si="164"/>
        <v>38734.079490391887</v>
      </c>
      <c r="S199" s="1514">
        <f t="shared" si="139"/>
        <v>0.85533308608416481</v>
      </c>
      <c r="T199" s="135" t="str">
        <f t="shared" si="140"/>
        <v>Yes</v>
      </c>
      <c r="U199" s="1526">
        <f t="shared" si="141"/>
        <v>0.85533308608416481</v>
      </c>
      <c r="V199" s="1494">
        <f t="shared" si="142"/>
        <v>53391.632224074317</v>
      </c>
      <c r="W199" s="1491">
        <f t="shared" si="134"/>
        <v>0.42044808956748159</v>
      </c>
      <c r="X199" s="527">
        <f t="shared" si="143"/>
        <v>13687.941669523076</v>
      </c>
      <c r="Y199" s="1509">
        <f t="shared" si="144"/>
        <v>11182.537632279847</v>
      </c>
      <c r="Z199" s="1531">
        <f t="shared" si="145"/>
        <v>4377.5291467721845</v>
      </c>
      <c r="AA199" s="1531">
        <f t="shared" si="146"/>
        <v>0</v>
      </c>
      <c r="AB199" s="1531">
        <f t="shared" si="147"/>
        <v>24143.623775499214</v>
      </c>
      <c r="AC199" s="1531">
        <f t="shared" si="148"/>
        <v>53391.632224074317</v>
      </c>
      <c r="AD199" s="1005">
        <f t="shared" si="149"/>
        <v>0</v>
      </c>
      <c r="AE199" s="1454">
        <f t="shared" si="150"/>
        <v>0.25636866863476737</v>
      </c>
      <c r="AF199" s="1504">
        <f t="shared" si="151"/>
        <v>0.20944363688581213</v>
      </c>
      <c r="AG199" s="1504">
        <f t="shared" si="152"/>
        <v>8.1989048928126876E-2</v>
      </c>
      <c r="AH199" s="1504">
        <f t="shared" si="165"/>
        <v>0</v>
      </c>
      <c r="AI199" s="1504">
        <f t="shared" si="153"/>
        <v>0.45219864555129374</v>
      </c>
      <c r="AJ199" s="1504">
        <f t="shared" si="154"/>
        <v>1</v>
      </c>
      <c r="AK199" s="1555">
        <f t="shared" si="155"/>
        <v>7136.6462333796744</v>
      </c>
      <c r="AL199" s="1556">
        <f t="shared" si="156"/>
        <v>6194.6995957233803</v>
      </c>
      <c r="AM199" s="1556">
        <f t="shared" si="157"/>
        <v>356.5958404200191</v>
      </c>
      <c r="AN199" s="1556">
        <f t="shared" si="158"/>
        <v>13687.941669523074</v>
      </c>
      <c r="AO199" s="1543">
        <f t="shared" si="159"/>
        <v>0</v>
      </c>
    </row>
    <row r="200" spans="1:41">
      <c r="A200" s="100">
        <f>'Input data'!A140</f>
        <v>2040</v>
      </c>
      <c r="B200" s="1506">
        <f>'Input data'!B140</f>
        <v>71.375305999999995</v>
      </c>
      <c r="C200" s="1507">
        <f>'Input data'!C140</f>
        <v>6840.2471934556306</v>
      </c>
      <c r="D200" s="1507">
        <f>'Input data'!E140</f>
        <v>8950966.9774414804</v>
      </c>
      <c r="E200" s="1508">
        <f>'Input data'!J140*C200</f>
        <v>82295.326083145788</v>
      </c>
      <c r="F200" s="1509">
        <f>'Input data'!L140</f>
        <v>91246.293060587268</v>
      </c>
      <c r="G200" s="1510">
        <f t="shared" si="171"/>
        <v>13687.941669523079</v>
      </c>
      <c r="H200" s="1509">
        <f t="shared" si="160"/>
        <v>41933.757560007813</v>
      </c>
      <c r="I200" s="1511">
        <f t="shared" si="135"/>
        <v>8950.9669774414797</v>
      </c>
      <c r="J200" s="1504">
        <f t="shared" si="170"/>
        <v>0.4</v>
      </c>
      <c r="K200" s="1512">
        <f t="shared" si="162"/>
        <v>3029.4750152750594</v>
      </c>
      <c r="L200" s="1512">
        <f t="shared" si="136"/>
        <v>0</v>
      </c>
      <c r="M200" s="1511">
        <f t="shared" si="163"/>
        <v>3029.4750152750594</v>
      </c>
      <c r="N200" s="1454">
        <f t="shared" si="169"/>
        <v>0.5</v>
      </c>
      <c r="O200" s="1511">
        <f t="shared" si="137"/>
        <v>751.91700000000026</v>
      </c>
      <c r="P200" s="1481">
        <f t="shared" si="166"/>
        <v>3781.3920152750597</v>
      </c>
      <c r="Q200" s="1364">
        <f t="shared" si="138"/>
        <v>51840.30721425583</v>
      </c>
      <c r="R200" s="1364">
        <f t="shared" si="164"/>
        <v>38152.365544732747</v>
      </c>
      <c r="S200" s="1514">
        <f t="shared" si="139"/>
        <v>0.82101548653203738</v>
      </c>
      <c r="T200" s="135" t="str">
        <f t="shared" si="140"/>
        <v>Yes</v>
      </c>
      <c r="U200" s="1526">
        <f t="shared" si="141"/>
        <v>0.82101548653203738</v>
      </c>
      <c r="V200" s="1494">
        <f t="shared" si="142"/>
        <v>53093.927515854528</v>
      </c>
      <c r="W200" s="1491">
        <f t="shared" si="134"/>
        <v>0.41812510147014614</v>
      </c>
      <c r="X200" s="527">
        <f t="shared" si="143"/>
        <v>13687.941669523081</v>
      </c>
      <c r="Y200" s="1509">
        <f t="shared" si="144"/>
        <v>10170.443533665652</v>
      </c>
      <c r="Z200" s="1531">
        <f t="shared" si="145"/>
        <v>4470.8013872684305</v>
      </c>
      <c r="AA200" s="1531">
        <f t="shared" si="146"/>
        <v>0</v>
      </c>
      <c r="AB200" s="1531">
        <f t="shared" si="147"/>
        <v>24764.740925397364</v>
      </c>
      <c r="AC200" s="1531">
        <f t="shared" si="148"/>
        <v>53093.927515854528</v>
      </c>
      <c r="AD200" s="1005">
        <f t="shared" si="149"/>
        <v>0</v>
      </c>
      <c r="AE200" s="1454">
        <f t="shared" si="150"/>
        <v>0.25780616183339772</v>
      </c>
      <c r="AF200" s="1504">
        <f t="shared" si="151"/>
        <v>0.19155568272150569</v>
      </c>
      <c r="AG200" s="1504">
        <f t="shared" si="152"/>
        <v>8.4205512691322218E-2</v>
      </c>
      <c r="AH200" s="1504">
        <f t="shared" si="165"/>
        <v>0</v>
      </c>
      <c r="AI200" s="1504">
        <f t="shared" si="153"/>
        <v>0.46643264275377433</v>
      </c>
      <c r="AJ200" s="1504">
        <f t="shared" si="154"/>
        <v>1</v>
      </c>
      <c r="AK200" s="1555">
        <f t="shared" si="155"/>
        <v>5370.5801864648884</v>
      </c>
      <c r="AL200" s="1556">
        <f t="shared" si="156"/>
        <v>7861.3625074023694</v>
      </c>
      <c r="AM200" s="1556">
        <f t="shared" si="157"/>
        <v>455.99897565582518</v>
      </c>
      <c r="AN200" s="1556">
        <f t="shared" si="158"/>
        <v>13687.941669523083</v>
      </c>
      <c r="AO200" s="1543">
        <f t="shared" si="159"/>
        <v>0</v>
      </c>
    </row>
    <row r="201" spans="1:41">
      <c r="A201" s="100">
        <f>'Input data'!A141</f>
        <v>2041</v>
      </c>
      <c r="B201" s="1506">
        <f>'Input data'!B141</f>
        <v>71.818612994947316</v>
      </c>
      <c r="C201" s="1507">
        <f>'Input data'!C141</f>
        <v>7028.9784058300729</v>
      </c>
      <c r="D201" s="1507">
        <f>'Input data'!E141</f>
        <v>7408427.529416549</v>
      </c>
      <c r="E201" s="1508">
        <f>'Input data'!J141*C201</f>
        <v>84565.959910426493</v>
      </c>
      <c r="F201" s="1509">
        <f>'Input data'!L141</f>
        <v>91974.387439843034</v>
      </c>
      <c r="G201" s="1510">
        <f t="shared" si="171"/>
        <v>13687.941669523079</v>
      </c>
      <c r="H201" s="1509">
        <f t="shared" si="160"/>
        <v>41789.063783117614</v>
      </c>
      <c r="I201" s="1511">
        <f t="shared" si="135"/>
        <v>7408.4275294165491</v>
      </c>
      <c r="J201" s="1504">
        <f t="shared" si="170"/>
        <v>0.4</v>
      </c>
      <c r="K201" s="1512">
        <f t="shared" si="162"/>
        <v>2507.3990507848575</v>
      </c>
      <c r="L201" s="1512">
        <f t="shared" si="136"/>
        <v>0</v>
      </c>
      <c r="M201" s="1511">
        <f t="shared" si="163"/>
        <v>2507.3990507848575</v>
      </c>
      <c r="N201" s="1454">
        <f t="shared" si="169"/>
        <v>0.5</v>
      </c>
      <c r="O201" s="1511">
        <f t="shared" si="137"/>
        <v>751.91700000000026</v>
      </c>
      <c r="P201" s="1481">
        <f t="shared" si="166"/>
        <v>3259.3160507848579</v>
      </c>
      <c r="Q201" s="1364">
        <f t="shared" si="138"/>
        <v>52217.689401855838</v>
      </c>
      <c r="R201" s="1364">
        <f t="shared" si="164"/>
        <v>38529.747732332762</v>
      </c>
      <c r="S201" s="1514">
        <f t="shared" si="139"/>
        <v>0.80652342996718251</v>
      </c>
      <c r="T201" s="135" t="str">
        <f t="shared" si="140"/>
        <v>Yes</v>
      </c>
      <c r="U201" s="1526">
        <f t="shared" si="141"/>
        <v>0.80652342996718251</v>
      </c>
      <c r="V201" s="1494">
        <f t="shared" si="142"/>
        <v>53444.639707510287</v>
      </c>
      <c r="W201" s="1491">
        <f t="shared" si="134"/>
        <v>0.41891823152976793</v>
      </c>
      <c r="X201" s="527">
        <f t="shared" si="143"/>
        <v>13687.941669523074</v>
      </c>
      <c r="Y201" s="1509">
        <f t="shared" si="144"/>
        <v>9735.2558907040348</v>
      </c>
      <c r="Z201" s="1531">
        <f t="shared" si="145"/>
        <v>4573.4101876873783</v>
      </c>
      <c r="AA201" s="1531">
        <f t="shared" si="146"/>
        <v>0</v>
      </c>
      <c r="AB201" s="1531">
        <f t="shared" si="147"/>
        <v>25448.031959595799</v>
      </c>
      <c r="AC201" s="1531">
        <f t="shared" si="148"/>
        <v>53444.639707510287</v>
      </c>
      <c r="AD201" s="1005">
        <f t="shared" si="149"/>
        <v>0</v>
      </c>
      <c r="AE201" s="1454">
        <f t="shared" si="150"/>
        <v>0.25611439696167659</v>
      </c>
      <c r="AF201" s="1504">
        <f t="shared" si="151"/>
        <v>0.1821558896080647</v>
      </c>
      <c r="AG201" s="1504">
        <f t="shared" si="152"/>
        <v>8.5572850948505905E-2</v>
      </c>
      <c r="AH201" s="1504">
        <f t="shared" si="165"/>
        <v>0</v>
      </c>
      <c r="AI201" s="1504">
        <f t="shared" si="153"/>
        <v>0.47615686248175276</v>
      </c>
      <c r="AJ201" s="1504">
        <f t="shared" si="154"/>
        <v>1</v>
      </c>
      <c r="AK201" s="1555">
        <f t="shared" si="155"/>
        <v>4445.0565176499294</v>
      </c>
      <c r="AL201" s="1556">
        <f t="shared" si="156"/>
        <v>8732.3505118325393</v>
      </c>
      <c r="AM201" s="1556">
        <f t="shared" si="157"/>
        <v>510.5346400406039</v>
      </c>
      <c r="AN201" s="1556">
        <f t="shared" si="158"/>
        <v>13687.941669523072</v>
      </c>
      <c r="AO201" s="1543">
        <f t="shared" si="159"/>
        <v>0</v>
      </c>
    </row>
    <row r="202" spans="1:41">
      <c r="A202" s="100">
        <f>'Input data'!A142</f>
        <v>2042</v>
      </c>
      <c r="B202" s="1506">
        <f>'Input data'!B142</f>
        <v>72.264673338395411</v>
      </c>
      <c r="C202" s="1507">
        <f>'Input data'!C142</f>
        <v>7212.2527913428794</v>
      </c>
      <c r="D202" s="1507">
        <f>'Input data'!E142</f>
        <v>5865888.0813916186</v>
      </c>
      <c r="E202" s="1508">
        <f>'Input data'!J142*C202</f>
        <v>86770.942404757225</v>
      </c>
      <c r="F202" s="1509">
        <f>'Input data'!L142</f>
        <v>92636.830486148843</v>
      </c>
      <c r="G202" s="1510">
        <f t="shared" si="171"/>
        <v>13687.941669523079</v>
      </c>
      <c r="H202" s="1509">
        <f t="shared" si="160"/>
        <v>41606.698803960346</v>
      </c>
      <c r="I202" s="1511">
        <f t="shared" si="135"/>
        <v>5865.8880813916185</v>
      </c>
      <c r="J202" s="1504">
        <f t="shared" si="170"/>
        <v>0.4</v>
      </c>
      <c r="K202" s="1512">
        <f t="shared" si="162"/>
        <v>1985.3230862946555</v>
      </c>
      <c r="L202" s="1512">
        <f t="shared" si="136"/>
        <v>0</v>
      </c>
      <c r="M202" s="1511">
        <f t="shared" si="163"/>
        <v>1985.3230862946555</v>
      </c>
      <c r="N202" s="1454">
        <f t="shared" si="169"/>
        <v>0.5</v>
      </c>
      <c r="O202" s="1511">
        <f t="shared" si="137"/>
        <v>751.91700000000026</v>
      </c>
      <c r="P202" s="1481">
        <f t="shared" si="166"/>
        <v>2737.2400862946556</v>
      </c>
      <c r="Q202" s="1364">
        <f t="shared" si="138"/>
        <v>52557.400387188776</v>
      </c>
      <c r="R202" s="1364">
        <f t="shared" si="164"/>
        <v>38869.458717665693</v>
      </c>
      <c r="S202" s="1514">
        <f t="shared" si="139"/>
        <v>0.79264170056466809</v>
      </c>
      <c r="T202" s="135" t="str">
        <f t="shared" si="140"/>
        <v>Yes</v>
      </c>
      <c r="U202" s="1526">
        <f t="shared" si="141"/>
        <v>0.79264170056466809</v>
      </c>
      <c r="V202" s="1494">
        <f t="shared" si="142"/>
        <v>53767.371768483164</v>
      </c>
      <c r="W202" s="1491">
        <f t="shared" si="134"/>
        <v>0.41958968710050459</v>
      </c>
      <c r="X202" s="527">
        <f t="shared" si="143"/>
        <v>13687.941669523081</v>
      </c>
      <c r="Y202" s="1509">
        <f t="shared" si="144"/>
        <v>9294.8110110320795</v>
      </c>
      <c r="Z202" s="1531">
        <f t="shared" si="145"/>
        <v>4673.052237396033</v>
      </c>
      <c r="AA202" s="1531">
        <f t="shared" si="146"/>
        <v>0</v>
      </c>
      <c r="AB202" s="1531">
        <f t="shared" si="147"/>
        <v>26111.566850531974</v>
      </c>
      <c r="AC202" s="1531">
        <f t="shared" si="148"/>
        <v>53767.371768483164</v>
      </c>
      <c r="AD202" s="1005">
        <f t="shared" si="149"/>
        <v>0</v>
      </c>
      <c r="AE202" s="1454">
        <f t="shared" si="150"/>
        <v>0.25457710167537972</v>
      </c>
      <c r="AF202" s="1504">
        <f t="shared" si="151"/>
        <v>0.17287084537169847</v>
      </c>
      <c r="AG202" s="1504">
        <f t="shared" si="152"/>
        <v>8.691241702342678E-2</v>
      </c>
      <c r="AH202" s="1504">
        <f t="shared" si="165"/>
        <v>0</v>
      </c>
      <c r="AI202" s="1504">
        <f t="shared" si="153"/>
        <v>0.48563963592949505</v>
      </c>
      <c r="AJ202" s="1504">
        <f t="shared" si="154"/>
        <v>1</v>
      </c>
      <c r="AK202" s="1555">
        <f t="shared" si="155"/>
        <v>3519.5328488349705</v>
      </c>
      <c r="AL202" s="1556">
        <f t="shared" si="156"/>
        <v>9602.9116676572321</v>
      </c>
      <c r="AM202" s="1556">
        <f t="shared" si="157"/>
        <v>565.49715303087601</v>
      </c>
      <c r="AN202" s="1556">
        <f t="shared" si="158"/>
        <v>13687.941669523079</v>
      </c>
      <c r="AO202" s="1543">
        <f t="shared" si="159"/>
        <v>0</v>
      </c>
    </row>
    <row r="203" spans="1:41">
      <c r="A203" s="100">
        <f>'Input data'!A143</f>
        <v>2043</v>
      </c>
      <c r="B203" s="1506">
        <f>'Input data'!B143</f>
        <v>72.713504131197794</v>
      </c>
      <c r="C203" s="1507">
        <f>'Input data'!C143</f>
        <v>7399.5467373897327</v>
      </c>
      <c r="D203" s="1507">
        <f>'Input data'!E143</f>
        <v>4323348.6333666872</v>
      </c>
      <c r="E203" s="1508">
        <f>'Input data'!J143*C203</f>
        <v>89024.284415272807</v>
      </c>
      <c r="F203" s="1509">
        <f>'Input data'!L143</f>
        <v>93347.633048639487</v>
      </c>
      <c r="G203" s="1510">
        <f t="shared" si="171"/>
        <v>13687.941669523079</v>
      </c>
      <c r="H203" s="1509">
        <f t="shared" si="160"/>
        <v>41452.082859497095</v>
      </c>
      <c r="I203" s="1511">
        <f t="shared" si="135"/>
        <v>4323.348633366687</v>
      </c>
      <c r="J203" s="1504">
        <f t="shared" si="170"/>
        <v>0.4</v>
      </c>
      <c r="K203" s="1512">
        <f t="shared" si="162"/>
        <v>1463.2471218044532</v>
      </c>
      <c r="L203" s="1512">
        <f t="shared" si="136"/>
        <v>0</v>
      </c>
      <c r="M203" s="1511">
        <f t="shared" si="163"/>
        <v>1463.2471218044532</v>
      </c>
      <c r="N203" s="1454">
        <f t="shared" si="169"/>
        <v>0.5</v>
      </c>
      <c r="O203" s="1511">
        <f t="shared" si="137"/>
        <v>751.91700000000026</v>
      </c>
      <c r="P203" s="1481">
        <f t="shared" si="166"/>
        <v>2215.1641218044533</v>
      </c>
      <c r="Q203" s="1364">
        <f t="shared" si="138"/>
        <v>52924.860407215718</v>
      </c>
      <c r="R203" s="1364">
        <f t="shared" si="164"/>
        <v>39236.918737692642</v>
      </c>
      <c r="S203" s="1514">
        <f t="shared" si="139"/>
        <v>0.77957987558317743</v>
      </c>
      <c r="T203" s="135" t="str">
        <f t="shared" si="140"/>
        <v>Yes</v>
      </c>
      <c r="U203" s="1526">
        <f t="shared" si="141"/>
        <v>0.77957987558317743</v>
      </c>
      <c r="V203" s="1494">
        <f t="shared" si="142"/>
        <v>54110.71431094686</v>
      </c>
      <c r="W203" s="1491">
        <f t="shared" si="134"/>
        <v>0.42033115844777702</v>
      </c>
      <c r="X203" s="527">
        <f t="shared" si="143"/>
        <v>13687.941669523076</v>
      </c>
      <c r="Y203" s="1509">
        <f t="shared" si="144"/>
        <v>8858.2386715258344</v>
      </c>
      <c r="Z203" s="1531">
        <f t="shared" si="145"/>
        <v>4774.8796293139649</v>
      </c>
      <c r="AA203" s="1531">
        <f t="shared" si="146"/>
        <v>0</v>
      </c>
      <c r="AB203" s="1531">
        <f t="shared" si="147"/>
        <v>26789.654340583988</v>
      </c>
      <c r="AC203" s="1531">
        <f t="shared" si="148"/>
        <v>54110.71431094686</v>
      </c>
      <c r="AD203" s="1005">
        <f t="shared" si="149"/>
        <v>0</v>
      </c>
      <c r="AE203" s="1454">
        <f t="shared" si="150"/>
        <v>0.25296176263476045</v>
      </c>
      <c r="AF203" s="1504">
        <f t="shared" si="151"/>
        <v>0.16370581657122515</v>
      </c>
      <c r="AG203" s="1504">
        <f t="shared" si="152"/>
        <v>8.8242775762950587E-2</v>
      </c>
      <c r="AH203" s="1504">
        <f t="shared" si="165"/>
        <v>0</v>
      </c>
      <c r="AI203" s="1504">
        <f t="shared" si="153"/>
        <v>0.49508964503106384</v>
      </c>
      <c r="AJ203" s="1504">
        <f t="shared" si="154"/>
        <v>1</v>
      </c>
      <c r="AK203" s="1555">
        <f t="shared" si="155"/>
        <v>2594.0091800200125</v>
      </c>
      <c r="AL203" s="1556">
        <f t="shared" si="156"/>
        <v>10472.899401421837</v>
      </c>
      <c r="AM203" s="1556">
        <f t="shared" si="157"/>
        <v>621.03308808122574</v>
      </c>
      <c r="AN203" s="1556">
        <f t="shared" si="158"/>
        <v>13687.941669523076</v>
      </c>
      <c r="AO203" s="1543">
        <f t="shared" si="159"/>
        <v>0</v>
      </c>
    </row>
    <row r="204" spans="1:41">
      <c r="A204" s="100">
        <f>'Input data'!A144</f>
        <v>2044</v>
      </c>
      <c r="B204" s="1506">
        <f>'Input data'!B144</f>
        <v>73.165122580420132</v>
      </c>
      <c r="C204" s="1507">
        <f>'Input data'!C144</f>
        <v>7593.410855692503</v>
      </c>
      <c r="D204" s="1507">
        <f>'Input data'!E144</f>
        <v>2780809.1853417563</v>
      </c>
      <c r="E204" s="1508">
        <f>'Input data'!J144*C204</f>
        <v>91356.672467975353</v>
      </c>
      <c r="F204" s="1509">
        <f>'Input data'!L144</f>
        <v>94137.481653317111</v>
      </c>
      <c r="G204" s="1510">
        <f t="shared" si="171"/>
        <v>13687.941669523079</v>
      </c>
      <c r="H204" s="1509">
        <f t="shared" si="160"/>
        <v>41342.824096827942</v>
      </c>
      <c r="I204" s="1511">
        <f t="shared" si="135"/>
        <v>2780.8091853417563</v>
      </c>
      <c r="J204" s="1504">
        <f t="shared" si="170"/>
        <v>0.4</v>
      </c>
      <c r="K204" s="1512">
        <f t="shared" si="162"/>
        <v>941.1711573142511</v>
      </c>
      <c r="L204" s="1512">
        <f t="shared" si="136"/>
        <v>0</v>
      </c>
      <c r="M204" s="1511">
        <f t="shared" si="163"/>
        <v>941.1711573142511</v>
      </c>
      <c r="N204" s="1454">
        <f t="shared" si="169"/>
        <v>0.5</v>
      </c>
      <c r="O204" s="1511">
        <f t="shared" si="137"/>
        <v>751.91700000000026</v>
      </c>
      <c r="P204" s="1481">
        <f t="shared" si="166"/>
        <v>1693.0881573142515</v>
      </c>
      <c r="Q204" s="1364">
        <f t="shared" si="138"/>
        <v>53337.677609036771</v>
      </c>
      <c r="R204" s="1364">
        <f t="shared" si="164"/>
        <v>39649.735939513688</v>
      </c>
      <c r="S204" s="1514">
        <f t="shared" si="139"/>
        <v>0.76737673514305982</v>
      </c>
      <c r="T204" s="135" t="str">
        <f t="shared" si="140"/>
        <v>Yes</v>
      </c>
      <c r="U204" s="1526">
        <f t="shared" si="141"/>
        <v>0.76737673514305982</v>
      </c>
      <c r="V204" s="1494">
        <f t="shared" si="142"/>
        <v>54487.74571380343</v>
      </c>
      <c r="W204" s="1491">
        <f>(1-V204/F204)</f>
        <v>0.42118968176281724</v>
      </c>
      <c r="X204" s="527">
        <f t="shared" si="143"/>
        <v>13687.941669523083</v>
      </c>
      <c r="Y204" s="1509">
        <f t="shared" si="144"/>
        <v>8427.9961921476224</v>
      </c>
      <c r="Z204" s="1531">
        <f t="shared" si="145"/>
        <v>4880.2790721144393</v>
      </c>
      <c r="AA204" s="1531">
        <f t="shared" si="146"/>
        <v>0</v>
      </c>
      <c r="AB204" s="1531">
        <f t="shared" si="147"/>
        <v>27491.528780018285</v>
      </c>
      <c r="AC204" s="1531">
        <f t="shared" si="148"/>
        <v>54487.74571380343</v>
      </c>
      <c r="AD204" s="1005">
        <f t="shared" si="149"/>
        <v>0</v>
      </c>
      <c r="AE204" s="1454">
        <f t="shared" si="150"/>
        <v>0.25121137771819224</v>
      </c>
      <c r="AF204" s="1504">
        <f t="shared" si="151"/>
        <v>0.15467691095931227</v>
      </c>
      <c r="AG204" s="1504">
        <f t="shared" si="152"/>
        <v>8.9566543966565937E-2</v>
      </c>
      <c r="AH204" s="1504">
        <f t="shared" si="165"/>
        <v>0</v>
      </c>
      <c r="AI204" s="1504">
        <f t="shared" si="153"/>
        <v>0.50454516735592958</v>
      </c>
      <c r="AJ204" s="1504">
        <f t="shared" si="154"/>
        <v>1</v>
      </c>
      <c r="AK204" s="1555">
        <f t="shared" si="155"/>
        <v>1668.4855112050541</v>
      </c>
      <c r="AL204" s="1556">
        <f t="shared" si="156"/>
        <v>11342.28659121322</v>
      </c>
      <c r="AM204" s="1556">
        <f t="shared" si="157"/>
        <v>677.16956710480747</v>
      </c>
      <c r="AN204" s="1556">
        <f t="shared" si="158"/>
        <v>13687.941669523081</v>
      </c>
      <c r="AO204" s="1543">
        <f t="shared" si="159"/>
        <v>0</v>
      </c>
    </row>
    <row r="205" spans="1:41">
      <c r="A205" s="100">
        <f>'Input data'!A145</f>
        <v>2045</v>
      </c>
      <c r="B205" s="1506">
        <f>'Input data'!B145</f>
        <v>73.619545999999971</v>
      </c>
      <c r="C205" s="1507">
        <f>'Input data'!C145</f>
        <v>7794.8943128616638</v>
      </c>
      <c r="D205" s="1507">
        <f>'Input data'!E145</f>
        <v>1238269.7373168254</v>
      </c>
      <c r="E205" s="1508">
        <f>'Input data'!J145*C205</f>
        <v>93780.729134225592</v>
      </c>
      <c r="F205" s="1509">
        <f>'Input data'!L145</f>
        <v>95018.998871542412</v>
      </c>
      <c r="G205" s="1510">
        <f t="shared" si="171"/>
        <v>13687.941669523079</v>
      </c>
      <c r="H205" s="1509">
        <f t="shared" si="160"/>
        <v>41286.165437269112</v>
      </c>
      <c r="I205" s="1511">
        <f t="shared" si="135"/>
        <v>1238.2697373168255</v>
      </c>
      <c r="J205" s="1504">
        <f t="shared" si="170"/>
        <v>0.4</v>
      </c>
      <c r="K205" s="1512">
        <f t="shared" si="162"/>
        <v>419.09519282404921</v>
      </c>
      <c r="L205" s="1512">
        <f t="shared" si="136"/>
        <v>0</v>
      </c>
      <c r="M205" s="1511">
        <f t="shared" si="163"/>
        <v>419.09519282404921</v>
      </c>
      <c r="N205" s="1454">
        <f t="shared" si="169"/>
        <v>0.5</v>
      </c>
      <c r="O205" s="1511">
        <f t="shared" si="137"/>
        <v>751.91700000000026</v>
      </c>
      <c r="P205" s="1481">
        <f t="shared" si="166"/>
        <v>1171.0121928240494</v>
      </c>
      <c r="Q205" s="1364">
        <f t="shared" si="138"/>
        <v>53803.094913968147</v>
      </c>
      <c r="R205" s="1364">
        <f t="shared" si="164"/>
        <v>40115.153244445071</v>
      </c>
      <c r="S205" s="1514">
        <f t="shared" si="139"/>
        <v>0.75603190045395818</v>
      </c>
      <c r="T205" s="135" t="str">
        <f t="shared" si="140"/>
        <v>Yes</v>
      </c>
      <c r="U205" s="1526">
        <f t="shared" si="141"/>
        <v>0.75603190045395818</v>
      </c>
      <c r="V205" s="1494">
        <f t="shared" si="142"/>
        <v>54903.845627097355</v>
      </c>
      <c r="W205" s="1491">
        <f t="shared" si="134"/>
        <v>0.42218033994103987</v>
      </c>
      <c r="X205" s="527">
        <f t="shared" si="143"/>
        <v>13687.941669523074</v>
      </c>
      <c r="Y205" s="1509">
        <f t="shared" si="144"/>
        <v>8005.094364949251</v>
      </c>
      <c r="Z205" s="1531">
        <f t="shared" si="145"/>
        <v>4989.8209734474995</v>
      </c>
      <c r="AA205" s="1531">
        <f t="shared" si="146"/>
        <v>0</v>
      </c>
      <c r="AB205" s="1531">
        <f t="shared" si="147"/>
        <v>28220.988619177533</v>
      </c>
      <c r="AC205" s="1531">
        <f t="shared" si="148"/>
        <v>54903.845627097355</v>
      </c>
      <c r="AD205" s="1005">
        <f t="shared" si="149"/>
        <v>0</v>
      </c>
      <c r="AE205" s="1454">
        <f t="shared" si="150"/>
        <v>0.24930752141645066</v>
      </c>
      <c r="AF205" s="1504">
        <f t="shared" si="151"/>
        <v>0.14580207039265025</v>
      </c>
      <c r="AG205" s="1504">
        <f t="shared" si="152"/>
        <v>9.088290476659823E-2</v>
      </c>
      <c r="AH205" s="1504">
        <f t="shared" si="165"/>
        <v>0</v>
      </c>
      <c r="AI205" s="1504">
        <f t="shared" si="153"/>
        <v>0.5140075034243009</v>
      </c>
      <c r="AJ205" s="1504">
        <f t="shared" si="154"/>
        <v>1</v>
      </c>
      <c r="AK205" s="1555">
        <f t="shared" si="155"/>
        <v>742.96184239009517</v>
      </c>
      <c r="AL205" s="1556">
        <f t="shared" si="156"/>
        <v>12211.073501948513</v>
      </c>
      <c r="AM205" s="1556">
        <f t="shared" si="157"/>
        <v>733.90632518446398</v>
      </c>
      <c r="AN205" s="1556">
        <f t="shared" si="158"/>
        <v>13687.941669523072</v>
      </c>
      <c r="AO205" s="1543">
        <f t="shared" si="159"/>
        <v>0</v>
      </c>
    </row>
    <row r="206" spans="1:41">
      <c r="A206" s="100">
        <f>'Input data'!A146</f>
        <v>2046</v>
      </c>
      <c r="B206" s="1506">
        <f>'Input data'!B146</f>
        <v>73.995362001779526</v>
      </c>
      <c r="C206" s="1507">
        <f>'Input data'!C146</f>
        <v>8018.9246673642956</v>
      </c>
      <c r="D206" s="1507">
        <f>'Input data'!E146</f>
        <v>1037510.1997812246</v>
      </c>
      <c r="E206" s="1508">
        <f>'Input data'!J146*C206</f>
        <v>96476.048551037893</v>
      </c>
      <c r="F206" s="1509">
        <f>'Input data'!L146</f>
        <v>97513.558750819124</v>
      </c>
      <c r="G206" s="1510">
        <f t="shared" si="171"/>
        <v>13687.941669523079</v>
      </c>
      <c r="H206" s="1509">
        <f t="shared" si="160"/>
        <v>42644.35566660919</v>
      </c>
      <c r="I206" s="1511">
        <f t="shared" si="135"/>
        <v>1037.5101997812246</v>
      </c>
      <c r="J206" s="1504">
        <f t="shared" si="170"/>
        <v>0.4</v>
      </c>
      <c r="K206" s="1512">
        <f t="shared" si="162"/>
        <v>351.14767334653646</v>
      </c>
      <c r="L206" s="1512">
        <f t="shared" si="136"/>
        <v>0</v>
      </c>
      <c r="M206" s="1511">
        <f t="shared" si="163"/>
        <v>351.14767334653646</v>
      </c>
      <c r="N206" s="1454">
        <f t="shared" si="169"/>
        <v>0.5</v>
      </c>
      <c r="O206" s="1511">
        <f t="shared" si="137"/>
        <v>751.91700000000026</v>
      </c>
      <c r="P206" s="1481">
        <f t="shared" si="166"/>
        <v>1103.0646733465367</v>
      </c>
      <c r="Q206" s="1364">
        <f t="shared" si="138"/>
        <v>55229.232662785733</v>
      </c>
      <c r="R206" s="1364">
        <f t="shared" si="164"/>
        <v>41541.29099326265</v>
      </c>
      <c r="S206" s="1514">
        <f t="shared" si="139"/>
        <v>0.76073578518965335</v>
      </c>
      <c r="T206" s="135" t="str">
        <f t="shared" si="140"/>
        <v>Yes</v>
      </c>
      <c r="U206" s="1526">
        <f t="shared" si="141"/>
        <v>0.76073578518965335</v>
      </c>
      <c r="V206" s="1494">
        <f t="shared" si="142"/>
        <v>55972.267757556481</v>
      </c>
      <c r="W206" s="1491">
        <f t="shared" si="134"/>
        <v>0.42600528096215839</v>
      </c>
      <c r="X206" s="527">
        <f t="shared" si="143"/>
        <v>13687.941669523087</v>
      </c>
      <c r="Y206" s="1509">
        <f t="shared" si="144"/>
        <v>8140.6267187900776</v>
      </c>
      <c r="Z206" s="1531">
        <f t="shared" si="145"/>
        <v>5111.6211020205074</v>
      </c>
      <c r="AA206" s="1531">
        <f t="shared" si="146"/>
        <v>0</v>
      </c>
      <c r="AB206" s="1531">
        <f t="shared" si="147"/>
        <v>29032.078267222809</v>
      </c>
      <c r="AC206" s="1531">
        <f t="shared" si="148"/>
        <v>55972.267757556481</v>
      </c>
      <c r="AD206" s="1005">
        <f t="shared" si="149"/>
        <v>0</v>
      </c>
      <c r="AE206" s="649">
        <f t="shared" si="150"/>
        <v>0.24454863484917777</v>
      </c>
      <c r="AF206" s="417">
        <f t="shared" si="151"/>
        <v>0.14544035903728522</v>
      </c>
      <c r="AG206" s="417">
        <f t="shared" si="152"/>
        <v>9.1324173681178358E-2</v>
      </c>
      <c r="AH206" s="417">
        <f t="shared" si="165"/>
        <v>0</v>
      </c>
      <c r="AI206" s="417">
        <f t="shared" si="153"/>
        <v>0.51868683243235869</v>
      </c>
      <c r="AJ206" s="417">
        <f t="shared" si="154"/>
        <v>1</v>
      </c>
      <c r="AK206" s="1497">
        <f t="shared" si="155"/>
        <v>622.50611986873469</v>
      </c>
      <c r="AL206" s="1498">
        <f t="shared" si="156"/>
        <v>12319.822579750786</v>
      </c>
      <c r="AM206" s="1498">
        <f t="shared" si="157"/>
        <v>745.61296990356493</v>
      </c>
      <c r="AN206" s="1498">
        <f t="shared" si="158"/>
        <v>13687.941669523085</v>
      </c>
      <c r="AO206" s="1184">
        <f t="shared" si="159"/>
        <v>0</v>
      </c>
    </row>
    <row r="207" spans="1:41">
      <c r="A207" s="100">
        <f>'Input data'!A147</f>
        <v>2047</v>
      </c>
      <c r="B207" s="1506">
        <f>'Input data'!B147</f>
        <v>74.373096484110363</v>
      </c>
      <c r="C207" s="1507">
        <f>'Input data'!C147</f>
        <v>8179.7504647675678</v>
      </c>
      <c r="D207" s="1507">
        <f>'Input data'!E147</f>
        <v>836750.66224562365</v>
      </c>
      <c r="E207" s="1508">
        <f>'Input data'!J147*C207</f>
        <v>98410.951057565282</v>
      </c>
      <c r="F207" s="1509">
        <f>'Input data'!L147</f>
        <v>99247.70171981091</v>
      </c>
      <c r="G207" s="1510">
        <f t="shared" si="171"/>
        <v>13687.941669523079</v>
      </c>
      <c r="H207" s="1509">
        <f t="shared" si="160"/>
        <v>43566.213258857504</v>
      </c>
      <c r="I207" s="1511">
        <f t="shared" si="135"/>
        <v>836.75066224562363</v>
      </c>
      <c r="J207" s="1504">
        <f t="shared" si="170"/>
        <v>0.4</v>
      </c>
      <c r="K207" s="1512">
        <f t="shared" si="162"/>
        <v>283.20015386902367</v>
      </c>
      <c r="L207" s="1512">
        <f t="shared" si="136"/>
        <v>0</v>
      </c>
      <c r="M207" s="1511">
        <f t="shared" si="163"/>
        <v>283.20015386902367</v>
      </c>
      <c r="N207" s="1454">
        <f t="shared" si="169"/>
        <v>0.5</v>
      </c>
      <c r="O207" s="1511">
        <f t="shared" si="137"/>
        <v>751.91700000000026</v>
      </c>
      <c r="P207" s="1481">
        <f t="shared" si="166"/>
        <v>1035.1171538690239</v>
      </c>
      <c r="Q207" s="1364">
        <f t="shared" si="138"/>
        <v>56219.037774511555</v>
      </c>
      <c r="R207" s="1364">
        <f t="shared" si="164"/>
        <v>42531.096104988479</v>
      </c>
      <c r="S207" s="1514">
        <f t="shared" si="139"/>
        <v>0.76334163254526588</v>
      </c>
      <c r="T207" s="135" t="str">
        <f t="shared" si="140"/>
        <v>Yes</v>
      </c>
      <c r="U207" s="1526">
        <f t="shared" si="141"/>
        <v>0.76334163254526588</v>
      </c>
      <c r="V207" s="1494">
        <f t="shared" si="142"/>
        <v>56716.605614822438</v>
      </c>
      <c r="W207" s="1491">
        <f t="shared" si="134"/>
        <v>0.42853482113932728</v>
      </c>
      <c r="X207" s="527">
        <f t="shared" si="143"/>
        <v>13687.941669523076</v>
      </c>
      <c r="Y207" s="1509">
        <f t="shared" si="144"/>
        <v>8215.2662999135937</v>
      </c>
      <c r="Z207" s="1531">
        <f t="shared" si="145"/>
        <v>5199.0583729432956</v>
      </c>
      <c r="AA207" s="1531">
        <f t="shared" si="146"/>
        <v>0</v>
      </c>
      <c r="AB207" s="1531">
        <f t="shared" si="147"/>
        <v>29614.339272442474</v>
      </c>
      <c r="AC207" s="1531">
        <f t="shared" si="148"/>
        <v>56716.605614822438</v>
      </c>
      <c r="AD207" s="1487">
        <f t="shared" si="149"/>
        <v>0</v>
      </c>
      <c r="AE207" s="649">
        <f t="shared" si="150"/>
        <v>0.24133922545509034</v>
      </c>
      <c r="AF207" s="417">
        <f t="shared" si="151"/>
        <v>0.14484763696377836</v>
      </c>
      <c r="AG207" s="417">
        <f t="shared" si="152"/>
        <v>9.1667304779335435E-2</v>
      </c>
      <c r="AH207" s="417">
        <f t="shared" si="165"/>
        <v>0</v>
      </c>
      <c r="AI207" s="417">
        <f t="shared" si="153"/>
        <v>0.52214583280179583</v>
      </c>
      <c r="AJ207" s="417">
        <f t="shared" si="154"/>
        <v>1</v>
      </c>
      <c r="AK207" s="1497">
        <f t="shared" si="155"/>
        <v>502.0503973473742</v>
      </c>
      <c r="AL207" s="1498">
        <f t="shared" si="156"/>
        <v>12430.038976042559</v>
      </c>
      <c r="AM207" s="1498">
        <f t="shared" si="157"/>
        <v>755.85229613314323</v>
      </c>
      <c r="AN207" s="1498">
        <f t="shared" si="158"/>
        <v>13687.941669523076</v>
      </c>
      <c r="AO207" s="1184">
        <f t="shared" si="159"/>
        <v>0</v>
      </c>
    </row>
    <row r="208" spans="1:41">
      <c r="A208" s="100">
        <f>'Input data'!A148</f>
        <v>2048</v>
      </c>
      <c r="B208" s="1506">
        <f>'Input data'!B148</f>
        <v>74.752759240528661</v>
      </c>
      <c r="C208" s="1507">
        <f>'Input data'!C148</f>
        <v>8346.3110427603078</v>
      </c>
      <c r="D208" s="1507">
        <f>'Input data'!E148</f>
        <v>635991.12471002259</v>
      </c>
      <c r="E208" s="1508">
        <f>'Input data'!J148*C208</f>
        <v>100414.84897102432</v>
      </c>
      <c r="F208" s="1509">
        <f>'Input data'!L148</f>
        <v>101050.84009573434</v>
      </c>
      <c r="G208" s="1510">
        <f t="shared" si="171"/>
        <v>13687.941669523079</v>
      </c>
      <c r="H208" s="1509">
        <f t="shared" si="160"/>
        <v>44527.660906832505</v>
      </c>
      <c r="I208" s="1511">
        <f t="shared" si="135"/>
        <v>635.99112471002263</v>
      </c>
      <c r="J208" s="1504">
        <f t="shared" si="170"/>
        <v>0.4</v>
      </c>
      <c r="K208" s="1512">
        <f t="shared" si="162"/>
        <v>215.25263439151087</v>
      </c>
      <c r="L208" s="1512">
        <f t="shared" si="136"/>
        <v>0</v>
      </c>
      <c r="M208" s="1511">
        <f t="shared" si="163"/>
        <v>215.25263439151087</v>
      </c>
      <c r="N208" s="1454">
        <f t="shared" si="169"/>
        <v>0.5</v>
      </c>
      <c r="O208" s="1511">
        <f t="shared" si="137"/>
        <v>751.91700000000026</v>
      </c>
      <c r="P208" s="1481">
        <f t="shared" si="166"/>
        <v>967.16963439151118</v>
      </c>
      <c r="Q208" s="1364">
        <f t="shared" si="138"/>
        <v>57248.432941964071</v>
      </c>
      <c r="R208" s="1364">
        <f t="shared" si="164"/>
        <v>43560.491272440995</v>
      </c>
      <c r="S208" s="1514">
        <f t="shared" si="139"/>
        <v>0.76600867218625601</v>
      </c>
      <c r="T208" s="135" t="str">
        <f t="shared" si="140"/>
        <v>Yes</v>
      </c>
      <c r="U208" s="1526">
        <f t="shared" si="141"/>
        <v>0.76600867218625601</v>
      </c>
      <c r="V208" s="1494">
        <f t="shared" si="142"/>
        <v>57490.34882329336</v>
      </c>
      <c r="W208" s="1491">
        <f t="shared" si="134"/>
        <v>0.43107500374239638</v>
      </c>
      <c r="X208" s="527">
        <f t="shared" si="143"/>
        <v>13687.941669523076</v>
      </c>
      <c r="Y208" s="1509">
        <f t="shared" si="144"/>
        <v>8295.4309049759559</v>
      </c>
      <c r="Z208" s="1531">
        <f t="shared" si="145"/>
        <v>5289.613511597383</v>
      </c>
      <c r="AA208" s="1531">
        <f t="shared" si="146"/>
        <v>0</v>
      </c>
      <c r="AB208" s="1531">
        <f t="shared" si="147"/>
        <v>30217.362737196945</v>
      </c>
      <c r="AC208" s="1531">
        <f t="shared" si="148"/>
        <v>57490.34882329336</v>
      </c>
      <c r="AD208" s="1487">
        <f t="shared" si="149"/>
        <v>0</v>
      </c>
      <c r="AE208" s="649">
        <f t="shared" si="150"/>
        <v>0.23809112224375883</v>
      </c>
      <c r="AF208" s="417">
        <f t="shared" si="151"/>
        <v>0.14429258257718028</v>
      </c>
      <c r="AG208" s="417">
        <f t="shared" si="152"/>
        <v>9.2008721809219401E-2</v>
      </c>
      <c r="AH208" s="417">
        <f t="shared" si="165"/>
        <v>0</v>
      </c>
      <c r="AI208" s="417">
        <f t="shared" si="153"/>
        <v>0.52560757336984154</v>
      </c>
      <c r="AJ208" s="417">
        <f t="shared" si="154"/>
        <v>1</v>
      </c>
      <c r="AK208" s="1497">
        <f t="shared" si="155"/>
        <v>381.59467482601355</v>
      </c>
      <c r="AL208" s="1498">
        <f t="shared" si="156"/>
        <v>12540.212575874844</v>
      </c>
      <c r="AM208" s="1498">
        <f t="shared" si="157"/>
        <v>766.1344188222148</v>
      </c>
      <c r="AN208" s="1498">
        <f t="shared" si="158"/>
        <v>13687.941669523074</v>
      </c>
      <c r="AO208" s="1184">
        <f t="shared" si="159"/>
        <v>0</v>
      </c>
    </row>
    <row r="209" spans="1:41">
      <c r="A209" s="100">
        <f>'Input data'!A149</f>
        <v>2049</v>
      </c>
      <c r="B209" s="1506">
        <f>'Input data'!B149</f>
        <v>75.134360114565098</v>
      </c>
      <c r="C209" s="1507">
        <f>'Input data'!C149</f>
        <v>8507.9647859669603</v>
      </c>
      <c r="D209" s="1507">
        <f>'Input data'!E149</f>
        <v>435231.58717442153</v>
      </c>
      <c r="E209" s="1508">
        <f>'Input data'!J149*C209</f>
        <v>102359.71253128871</v>
      </c>
      <c r="F209" s="1509">
        <f>'Input data'!L149</f>
        <v>102794.94411846313</v>
      </c>
      <c r="G209" s="1510">
        <f t="shared" si="171"/>
        <v>13687.941669523079</v>
      </c>
      <c r="H209" s="1509">
        <f t="shared" si="160"/>
        <v>45455.234222635205</v>
      </c>
      <c r="I209" s="1511">
        <f t="shared" si="135"/>
        <v>435.23158717442152</v>
      </c>
      <c r="J209" s="1504">
        <f t="shared" si="170"/>
        <v>0.4</v>
      </c>
      <c r="K209" s="1512">
        <f t="shared" si="162"/>
        <v>147.30511491399807</v>
      </c>
      <c r="L209" s="1512">
        <f t="shared" si="136"/>
        <v>0</v>
      </c>
      <c r="M209" s="1511">
        <f t="shared" si="163"/>
        <v>147.30511491399807</v>
      </c>
      <c r="N209" s="1454">
        <f t="shared" si="169"/>
        <v>0.5</v>
      </c>
      <c r="O209" s="1511">
        <f t="shared" si="137"/>
        <v>751.91700000000026</v>
      </c>
      <c r="P209" s="1481">
        <f t="shared" si="166"/>
        <v>899.22211491399833</v>
      </c>
      <c r="Q209" s="1364">
        <f t="shared" si="138"/>
        <v>58243.953777244293</v>
      </c>
      <c r="R209" s="1364">
        <f t="shared" si="164"/>
        <v>44556.01210772121</v>
      </c>
      <c r="S209" s="1514">
        <f t="shared" si="139"/>
        <v>0.76843478955348543</v>
      </c>
      <c r="T209" s="135" t="str">
        <f t="shared" si="140"/>
        <v>Yes</v>
      </c>
      <c r="U209" s="1526">
        <f t="shared" si="141"/>
        <v>0.76843478955348543</v>
      </c>
      <c r="V209" s="1494">
        <f t="shared" si="142"/>
        <v>58238.932010741941</v>
      </c>
      <c r="W209" s="1491">
        <f t="shared" si="134"/>
        <v>0.43344555989420908</v>
      </c>
      <c r="X209" s="527">
        <f t="shared" si="143"/>
        <v>13687.941669523083</v>
      </c>
      <c r="Y209" s="1509">
        <f t="shared" si="144"/>
        <v>8370.8681487671874</v>
      </c>
      <c r="Z209" s="1531">
        <f t="shared" si="145"/>
        <v>5377.5009175276673</v>
      </c>
      <c r="AA209" s="1531">
        <f t="shared" si="146"/>
        <v>0</v>
      </c>
      <c r="AB209" s="1531">
        <f t="shared" si="147"/>
        <v>30802.621274924004</v>
      </c>
      <c r="AC209" s="1531">
        <f t="shared" si="148"/>
        <v>58238.932010741941</v>
      </c>
      <c r="AD209" s="1487">
        <f t="shared" si="149"/>
        <v>0</v>
      </c>
      <c r="AE209" s="649">
        <f t="shared" si="150"/>
        <v>0.23503078090440252</v>
      </c>
      <c r="AF209" s="417">
        <f t="shared" si="151"/>
        <v>0.14373320148149718</v>
      </c>
      <c r="AG209" s="417">
        <f t="shared" si="152"/>
        <v>9.2335156773407326E-2</v>
      </c>
      <c r="AH209" s="417">
        <f t="shared" si="165"/>
        <v>0</v>
      </c>
      <c r="AI209" s="417">
        <f t="shared" si="153"/>
        <v>0.52890086084069299</v>
      </c>
      <c r="AJ209" s="417">
        <f t="shared" si="154"/>
        <v>1</v>
      </c>
      <c r="AK209" s="1497">
        <f t="shared" si="155"/>
        <v>261.13895230465289</v>
      </c>
      <c r="AL209" s="1498">
        <f t="shared" si="156"/>
        <v>12650.554671135385</v>
      </c>
      <c r="AM209" s="1498">
        <f t="shared" si="157"/>
        <v>776.24804608304385</v>
      </c>
      <c r="AN209" s="1498">
        <f t="shared" si="158"/>
        <v>13687.941669523083</v>
      </c>
      <c r="AO209" s="1184">
        <f t="shared" si="159"/>
        <v>0</v>
      </c>
    </row>
    <row r="210" spans="1:41" ht="15.75" thickBot="1">
      <c r="A210" s="161">
        <f>'Input data'!A150</f>
        <v>2050</v>
      </c>
      <c r="B210" s="1515">
        <f>'Input data'!B150</f>
        <v>75.517908999999989</v>
      </c>
      <c r="C210" s="1516">
        <f>'Input data'!C150</f>
        <v>8670.5902188603068</v>
      </c>
      <c r="D210" s="1516">
        <f>'Input data'!E150</f>
        <v>234472.04963882058</v>
      </c>
      <c r="E210" s="1517">
        <f>'Input data'!J150*C210</f>
        <v>104316.26653450882</v>
      </c>
      <c r="F210" s="1518">
        <f>'Input data'!L150</f>
        <v>104550.73858414764</v>
      </c>
      <c r="G210" s="1519">
        <f t="shared" si="171"/>
        <v>13687.941669523079</v>
      </c>
      <c r="H210" s="1518">
        <f t="shared" si="160"/>
        <v>46389.515597838807</v>
      </c>
      <c r="I210" s="1520">
        <f t="shared" si="135"/>
        <v>234.47204963882058</v>
      </c>
      <c r="J210" s="1521">
        <f t="shared" si="170"/>
        <v>0.4</v>
      </c>
      <c r="K210" s="1518">
        <f t="shared" si="162"/>
        <v>79.357595436485283</v>
      </c>
      <c r="L210" s="1518">
        <f t="shared" si="136"/>
        <v>0</v>
      </c>
      <c r="M210" s="1520">
        <f t="shared" si="163"/>
        <v>79.357595436485283</v>
      </c>
      <c r="N210" s="1522">
        <f t="shared" si="169"/>
        <v>0.5</v>
      </c>
      <c r="O210" s="1520">
        <f t="shared" si="137"/>
        <v>751.91700000000026</v>
      </c>
      <c r="P210" s="1482">
        <f t="shared" si="166"/>
        <v>831.27459543648558</v>
      </c>
      <c r="Q210" s="1485">
        <f t="shared" si="138"/>
        <v>59246.182671925395</v>
      </c>
      <c r="R210" s="1485">
        <f t="shared" si="164"/>
        <v>45558.241002402312</v>
      </c>
      <c r="S210" s="1523">
        <f t="shared" si="139"/>
        <v>0.77079529709412087</v>
      </c>
      <c r="T210" s="1105" t="str">
        <f t="shared" si="140"/>
        <v>Yes</v>
      </c>
      <c r="U210" s="1528">
        <f t="shared" si="141"/>
        <v>0.77079529709412087</v>
      </c>
      <c r="V210" s="1495">
        <f t="shared" si="142"/>
        <v>58992.497581745331</v>
      </c>
      <c r="W210" s="1492">
        <f t="shared" si="134"/>
        <v>0.43575245492632042</v>
      </c>
      <c r="X210" s="670">
        <f t="shared" si="143"/>
        <v>13687.941669523078</v>
      </c>
      <c r="Y210" s="1518">
        <f t="shared" si="144"/>
        <v>8447.2415415001888</v>
      </c>
      <c r="Z210" s="1532">
        <f t="shared" si="145"/>
        <v>5465.916608694276</v>
      </c>
      <c r="AA210" s="1532">
        <f t="shared" si="146"/>
        <v>0</v>
      </c>
      <c r="AB210" s="1532">
        <f t="shared" si="147"/>
        <v>31391.397762027791</v>
      </c>
      <c r="AC210" s="1532">
        <f t="shared" si="148"/>
        <v>58992.497581745331</v>
      </c>
      <c r="AD210" s="1488">
        <f t="shared" si="149"/>
        <v>0</v>
      </c>
      <c r="AE210" s="650">
        <f t="shared" si="150"/>
        <v>0.23202851600842683</v>
      </c>
      <c r="AF210" s="651">
        <f t="shared" si="151"/>
        <v>0.1431917936648627</v>
      </c>
      <c r="AG210" s="651">
        <f t="shared" si="152"/>
        <v>9.2654436288618025E-2</v>
      </c>
      <c r="AH210" s="651">
        <f t="shared" si="165"/>
        <v>0</v>
      </c>
      <c r="AI210" s="651">
        <f>AB210/AC210</f>
        <v>0.53212525403809252</v>
      </c>
      <c r="AJ210" s="651">
        <f t="shared" si="154"/>
        <v>1</v>
      </c>
      <c r="AK210" s="1499">
        <f t="shared" si="155"/>
        <v>140.68322978329235</v>
      </c>
      <c r="AL210" s="1500">
        <f t="shared" si="156"/>
        <v>12760.942652380865</v>
      </c>
      <c r="AM210" s="1500">
        <f t="shared" si="157"/>
        <v>786.31578735891821</v>
      </c>
      <c r="AN210" s="1500">
        <f t="shared" si="158"/>
        <v>13687.941669523076</v>
      </c>
      <c r="AO210" s="1185">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6" t="s">
        <v>556</v>
      </c>
      <c r="B4" s="1802" t="s">
        <v>557</v>
      </c>
      <c r="C4" s="579">
        <v>0.5</v>
      </c>
      <c r="D4" s="116">
        <f>2017+10</f>
        <v>2027</v>
      </c>
      <c r="E4" s="579">
        <f>C4</f>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727"/>
      <c r="B28" s="727"/>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1331"/>
      <c r="P56" s="1331"/>
      <c r="Q56" s="198"/>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1331"/>
      <c r="P57" s="1331"/>
      <c r="Q57" s="7"/>
      <c r="R57" s="10"/>
      <c r="S57" s="10"/>
      <c r="W57" s="313"/>
      <c r="Y57" s="314"/>
      <c r="Z57" s="314"/>
      <c r="AA57" s="314"/>
    </row>
    <row r="58" spans="1:28"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1341"/>
      <c r="P58" s="1341"/>
      <c r="Q58" s="7"/>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1350"/>
      <c r="P59" s="1350"/>
      <c r="Q59" s="1351"/>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1350"/>
      <c r="P60" s="1350"/>
      <c r="Q60" s="7"/>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1350"/>
      <c r="P61" s="1350"/>
      <c r="Q61" s="7"/>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737</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738</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775</v>
      </c>
      <c r="R94" s="1919"/>
      <c r="S94" s="1919"/>
      <c r="T94" s="1919"/>
      <c r="U94" s="1920"/>
      <c r="V94" s="1925" t="s">
        <v>599</v>
      </c>
      <c r="W94" s="1781" t="s">
        <v>608</v>
      </c>
      <c r="X94" s="1783"/>
      <c r="Y94" s="1883" t="s">
        <v>594</v>
      </c>
      <c r="Z94" s="1842" t="s">
        <v>763</v>
      </c>
      <c r="AA94" s="1927" t="s">
        <v>771</v>
      </c>
      <c r="AB94" s="1840" t="s">
        <v>773</v>
      </c>
      <c r="AC94" s="1838" t="s">
        <v>781</v>
      </c>
      <c r="AD94" s="1840" t="s">
        <v>773</v>
      </c>
      <c r="AE94" s="1840" t="s">
        <v>772</v>
      </c>
      <c r="AF94" s="1856" t="s">
        <v>774</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734</v>
      </c>
      <c r="BN94" s="1707"/>
      <c r="BO94" s="1707"/>
      <c r="BP94" s="1707"/>
      <c r="BQ94" s="1707"/>
      <c r="BR94" s="1707"/>
      <c r="BS94" s="1707"/>
      <c r="BT94" s="1708"/>
      <c r="BV94" s="1793" t="s">
        <v>660</v>
      </c>
      <c r="BW94" s="1794"/>
      <c r="BX94" s="1909"/>
      <c r="BY94" s="1793" t="s">
        <v>656</v>
      </c>
      <c r="BZ94" s="1794"/>
      <c r="CA94" s="1795"/>
      <c r="CB94" s="1908" t="s">
        <v>661</v>
      </c>
      <c r="CC94" s="1907"/>
      <c r="CD94" s="1908" t="s">
        <v>657</v>
      </c>
      <c r="CE94" s="1907"/>
      <c r="CG94" s="1898" t="s">
        <v>735</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766</v>
      </c>
      <c r="K95" s="695" t="s">
        <v>596</v>
      </c>
      <c r="L95" s="726" t="s">
        <v>87</v>
      </c>
      <c r="M95" s="661" t="s">
        <v>323</v>
      </c>
      <c r="N95" s="661" t="s">
        <v>324</v>
      </c>
      <c r="O95" s="661" t="s">
        <v>325</v>
      </c>
      <c r="P95" s="660" t="s">
        <v>582</v>
      </c>
      <c r="Q95" s="503" t="s">
        <v>87</v>
      </c>
      <c r="R95" s="661" t="s">
        <v>323</v>
      </c>
      <c r="S95" s="661" t="s">
        <v>324</v>
      </c>
      <c r="T95" s="661" t="s">
        <v>325</v>
      </c>
      <c r="U95" s="1462" t="s">
        <v>582</v>
      </c>
      <c r="V95" s="1926"/>
      <c r="W95" s="1595" t="s">
        <v>605</v>
      </c>
      <c r="X95" s="1596" t="s">
        <v>576</v>
      </c>
      <c r="Y95" s="1884"/>
      <c r="Z95" s="1843"/>
      <c r="AA95" s="1928"/>
      <c r="AB95" s="1841"/>
      <c r="AC95" s="1839"/>
      <c r="AD95" s="1841"/>
      <c r="AE95" s="1841"/>
      <c r="AF95" s="1857"/>
      <c r="AG95" s="1579" t="s">
        <v>473</v>
      </c>
      <c r="AH95" s="1580" t="s">
        <v>489</v>
      </c>
      <c r="AI95" s="1636" t="s">
        <v>807</v>
      </c>
      <c r="AJ95" s="1580" t="s">
        <v>377</v>
      </c>
      <c r="AK95" s="1580" t="s">
        <v>225</v>
      </c>
      <c r="AL95" s="713" t="s">
        <v>591</v>
      </c>
      <c r="AM95" s="1579" t="s">
        <v>473</v>
      </c>
      <c r="AN95" s="1580" t="s">
        <v>489</v>
      </c>
      <c r="AO95" s="1636" t="s">
        <v>807</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0" t="str">
        <f>D135</f>
        <v xml:space="preserve">Coal ash generated - ‘IRP realistic’ </v>
      </c>
      <c r="BY95" s="1098" t="s">
        <v>531</v>
      </c>
      <c r="BZ95" s="40" t="s">
        <v>624</v>
      </c>
      <c r="CA95" s="1099" t="s">
        <v>630</v>
      </c>
      <c r="CB95" s="1270" t="s">
        <v>267</v>
      </c>
      <c r="CC95" s="1271" t="s">
        <v>633</v>
      </c>
      <c r="CD95" s="1270" t="s">
        <v>267</v>
      </c>
      <c r="CE95" s="1271" t="s">
        <v>633</v>
      </c>
      <c r="CF95"/>
      <c r="CG95" s="1258" t="s">
        <v>87</v>
      </c>
      <c r="CH95" s="1259" t="s">
        <v>323</v>
      </c>
      <c r="CI95" s="1259" t="s">
        <v>324</v>
      </c>
      <c r="CJ95" s="1259" t="s">
        <v>325</v>
      </c>
      <c r="CK95" s="1260" t="s">
        <v>582</v>
      </c>
      <c r="CL95" s="1259" t="s">
        <v>303</v>
      </c>
      <c r="CM95" s="1901" t="s">
        <v>736</v>
      </c>
    </row>
    <row r="96" spans="1:91" ht="32.2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92"/>
      <c r="AC96" s="1839"/>
      <c r="AD96" s="1892"/>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67" t="s">
        <v>625</v>
      </c>
      <c r="BW96" s="1158" t="s">
        <v>229</v>
      </c>
      <c r="BX96" s="1161" t="s">
        <v>625</v>
      </c>
      <c r="BY96" s="67" t="s">
        <v>625</v>
      </c>
      <c r="BZ96" s="1158" t="s">
        <v>229</v>
      </c>
      <c r="CA96" s="68" t="s">
        <v>625</v>
      </c>
      <c r="CB96" s="1265" t="s">
        <v>229</v>
      </c>
      <c r="CC96" s="1266" t="s">
        <v>229</v>
      </c>
      <c r="CD96" s="1265" t="s">
        <v>229</v>
      </c>
      <c r="CE96" s="1266" t="s">
        <v>229</v>
      </c>
      <c r="CG96" s="1273" t="s">
        <v>227</v>
      </c>
      <c r="CH96" s="1274" t="s">
        <v>227</v>
      </c>
      <c r="CI96" s="1274" t="s">
        <v>227</v>
      </c>
      <c r="CJ96" s="1274" t="s">
        <v>227</v>
      </c>
      <c r="CK96" s="1274" t="s">
        <v>227</v>
      </c>
      <c r="CL96" s="1274" t="s">
        <v>227</v>
      </c>
      <c r="CM96" s="1901"/>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7">
        <f>H97*$M$75*P97*B97-H97*$M$75*$P$97*B97</f>
        <v>0</v>
      </c>
      <c r="V97" s="528">
        <f>SUM(Q97:U97)</f>
        <v>0</v>
      </c>
      <c r="W97" s="708">
        <v>0</v>
      </c>
      <c r="X97" s="1467">
        <f>W97*($C$76+$D$76)*$B$10*$I$97</f>
        <v>0</v>
      </c>
      <c r="Y97" s="956">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86">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4436.7667702662829</v>
      </c>
      <c r="D99" s="1550">
        <f>'Input data'!D119</f>
        <v>53495734.497914702</v>
      </c>
      <c r="E99" s="1455">
        <f t="shared" ref="E99:E109" si="75">($E$110-$E$97)/($A$110-$A$97)+E98</f>
        <v>0.75867692307692314</v>
      </c>
      <c r="F99" s="1449">
        <f t="shared" ref="F99:F109" si="76">($F$110-$F$97)/($A$110-$A$97)+F98</f>
        <v>0.30196923076923077</v>
      </c>
      <c r="G99" s="1554">
        <f>B99*F99*'Input data'!$C$9</f>
        <v>539.43112442415634</v>
      </c>
      <c r="H99" s="1542">
        <f>'Input data'!I119</f>
        <v>424.26313389388866</v>
      </c>
      <c r="I99" s="1509">
        <f>'Input data'!K119</f>
        <v>24762.047773130591</v>
      </c>
      <c r="J99" s="1509">
        <f>J97*0.89</f>
        <v>9918.1880189451058</v>
      </c>
      <c r="K99" s="1511">
        <f t="shared" ref="K99:K130" si="77">I99*$B$10-J99</f>
        <v>1589.1923942165249</v>
      </c>
      <c r="L99" s="1504">
        <f t="shared" si="28"/>
        <v>0.59846153846153849</v>
      </c>
      <c r="M99" s="1504">
        <f t="shared" si="29"/>
        <v>0.46207692307692311</v>
      </c>
      <c r="N99" s="1504">
        <f t="shared" si="30"/>
        <v>0.74092307692307691</v>
      </c>
      <c r="O99" s="1504">
        <f t="shared" si="31"/>
        <v>0.81538461538461537</v>
      </c>
      <c r="P99" s="1504">
        <f t="shared" si="32"/>
        <v>0.23600000000000002</v>
      </c>
      <c r="Q99" s="1508">
        <f t="shared" si="33"/>
        <v>40.79022813076017</v>
      </c>
      <c r="R99" s="1509">
        <f t="shared" si="34"/>
        <v>28.464688971619694</v>
      </c>
      <c r="S99" s="1509">
        <f t="shared" si="35"/>
        <v>83.356397357562855</v>
      </c>
      <c r="T99" s="1509">
        <f t="shared" si="36"/>
        <v>56.126979831743938</v>
      </c>
      <c r="U99" s="1511">
        <f t="shared" si="37"/>
        <v>0</v>
      </c>
      <c r="V99" s="1509">
        <f t="shared" si="38"/>
        <v>208.73829429168666</v>
      </c>
      <c r="W99" s="1454">
        <v>0.1</v>
      </c>
      <c r="X99" s="530">
        <f t="shared" si="39"/>
        <v>606.6970940604142</v>
      </c>
      <c r="Y99" s="1508">
        <f t="shared" ref="Y99:Y130" si="78">X99+V99</f>
        <v>815.43538835210086</v>
      </c>
      <c r="Z99" s="1509">
        <f t="shared" ref="Z99:Z130" si="79">I99*$B$10-Y99</f>
        <v>10691.945024809529</v>
      </c>
      <c r="AA99" s="1511">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113.60506162863425</v>
      </c>
      <c r="BW99" s="114">
        <f t="shared" si="63"/>
        <v>0.37652840962439843</v>
      </c>
      <c r="BX99" s="1686">
        <f t="shared" si="24"/>
        <v>53.495734497914704</v>
      </c>
      <c r="BY99" s="527">
        <f t="shared" si="64"/>
        <v>113.60506162863425</v>
      </c>
      <c r="BZ99" s="417">
        <f t="shared" si="65"/>
        <v>0.37652840962439843</v>
      </c>
      <c r="CA99" s="544">
        <f t="shared" si="25"/>
        <v>53.495734497914704</v>
      </c>
      <c r="CB99" s="649">
        <f t="shared" si="26"/>
        <v>4.2261345922522509E-2</v>
      </c>
      <c r="CC99" s="525">
        <f t="shared" si="66"/>
        <v>0.1589262017034847</v>
      </c>
      <c r="CD99" s="417">
        <f t="shared" si="27"/>
        <v>4.2261345922522509E-2</v>
      </c>
      <c r="CE99" s="525">
        <f t="shared" si="67"/>
        <v>0.1589262017034847</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4156.6412676508144</v>
      </c>
      <c r="D100" s="1550">
        <f>'Input data'!D120</f>
        <v>51132056.241912685</v>
      </c>
      <c r="E100" s="1455">
        <f t="shared" si="75"/>
        <v>0.78061538461538471</v>
      </c>
      <c r="F100" s="1449">
        <f t="shared" si="76"/>
        <v>0.30815384615384617</v>
      </c>
      <c r="G100" s="1554">
        <f>B100*F100*'Input data'!$C$9</f>
        <v>559.3813349254624</v>
      </c>
      <c r="H100" s="1542">
        <f>'Input data'!I120</f>
        <v>424.26313389388866</v>
      </c>
      <c r="I100" s="1509">
        <f>'Input data'!K120</f>
        <v>25162.490686541139</v>
      </c>
      <c r="J100" s="1509">
        <f>J97*0.81</f>
        <v>9026.6655003882443</v>
      </c>
      <c r="K100" s="1511">
        <f t="shared" si="77"/>
        <v>2666.8081220502918</v>
      </c>
      <c r="L100" s="1504">
        <f t="shared" si="28"/>
        <v>0.60769230769230775</v>
      </c>
      <c r="M100" s="1504">
        <f t="shared" si="29"/>
        <v>0.47461538461538466</v>
      </c>
      <c r="N100" s="1504">
        <f t="shared" si="30"/>
        <v>0.75538461538461532</v>
      </c>
      <c r="O100" s="1504">
        <f t="shared" si="31"/>
        <v>0.82307692307692304</v>
      </c>
      <c r="P100" s="1504">
        <f t="shared" si="32"/>
        <v>0.23600000000000002</v>
      </c>
      <c r="Q100" s="1508">
        <f t="shared" si="33"/>
        <v>62.174809501571872</v>
      </c>
      <c r="R100" s="1509">
        <f t="shared" si="34"/>
        <v>43.387514496329516</v>
      </c>
      <c r="S100" s="1509">
        <f t="shared" si="35"/>
        <v>127.05661046635623</v>
      </c>
      <c r="T100" s="1509">
        <f t="shared" si="36"/>
        <v>85.551967685751606</v>
      </c>
      <c r="U100" s="1511">
        <f t="shared" si="37"/>
        <v>0</v>
      </c>
      <c r="V100" s="1509">
        <f t="shared" si="38"/>
        <v>318.17090215000923</v>
      </c>
      <c r="W100" s="1454">
        <f>($N$142-$N$137)/($A$102-$A$97)+W99</f>
        <v>0.2</v>
      </c>
      <c r="X100" s="530">
        <f t="shared" si="39"/>
        <v>1213.3941881208284</v>
      </c>
      <c r="Y100" s="1508">
        <f t="shared" si="78"/>
        <v>1531.5650902708376</v>
      </c>
      <c r="Z100" s="1509">
        <f t="shared" si="79"/>
        <v>10161.908532167698</v>
      </c>
      <c r="AA100" s="1511">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107.76580206740455</v>
      </c>
      <c r="BW100" s="114">
        <f t="shared" si="63"/>
        <v>0.40182480874928223</v>
      </c>
      <c r="BX100" s="1686">
        <f t="shared" si="24"/>
        <v>51.132056241912686</v>
      </c>
      <c r="BY100" s="527">
        <f t="shared" si="64"/>
        <v>107.76580206740455</v>
      </c>
      <c r="BZ100" s="417">
        <f t="shared" si="65"/>
        <v>0.40182480874928223</v>
      </c>
      <c r="CA100" s="544">
        <f t="shared" si="25"/>
        <v>51.132056241912686</v>
      </c>
      <c r="CB100" s="649">
        <f t="shared" si="26"/>
        <v>6.3097402659273327E-2</v>
      </c>
      <c r="CC100" s="525">
        <f t="shared" si="66"/>
        <v>0.16758616013099048</v>
      </c>
      <c r="CD100" s="417">
        <f t="shared" si="27"/>
        <v>6.3097402659273327E-2</v>
      </c>
      <c r="CE100" s="525">
        <f t="shared" si="67"/>
        <v>0.16758616013099048</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1">
        <f>'Input data'!B121</f>
        <v>59.991580449204264</v>
      </c>
      <c r="C101" s="1550">
        <f>'Input data'!C121</f>
        <v>4293.1482366506107</v>
      </c>
      <c r="D101" s="1550">
        <f>'Input data'!D121</f>
        <v>51275503.644747034</v>
      </c>
      <c r="E101" s="1455">
        <f t="shared" si="75"/>
        <v>0.80255384615384628</v>
      </c>
      <c r="F101" s="1449">
        <f t="shared" si="76"/>
        <v>0.31433846153846157</v>
      </c>
      <c r="G101" s="1554">
        <f>B101*F101*'Input data'!$C$9</f>
        <v>577.1781389317141</v>
      </c>
      <c r="H101" s="1542">
        <f>'Input data'!I121</f>
        <v>424.26313389388866</v>
      </c>
      <c r="I101" s="1509">
        <f>'Input data'!K121</f>
        <v>25452.215928626742</v>
      </c>
      <c r="J101" s="1509">
        <f>J97*0.65</f>
        <v>7243.6204632745166</v>
      </c>
      <c r="K101" s="1511">
        <f t="shared" si="77"/>
        <v>4584.4938240444126</v>
      </c>
      <c r="L101" s="1504">
        <f t="shared" si="28"/>
        <v>0.61692307692307702</v>
      </c>
      <c r="M101" s="1504">
        <f t="shared" si="29"/>
        <v>0.48715384615384622</v>
      </c>
      <c r="N101" s="1504">
        <f t="shared" si="30"/>
        <v>0.76984615384615374</v>
      </c>
      <c r="O101" s="1504">
        <f t="shared" si="31"/>
        <v>0.8307692307692307</v>
      </c>
      <c r="P101" s="1504">
        <f t="shared" si="32"/>
        <v>0.23600000000000002</v>
      </c>
      <c r="Q101" s="1508">
        <f t="shared" si="33"/>
        <v>83.854267924368514</v>
      </c>
      <c r="R101" s="1509">
        <f t="shared" si="34"/>
        <v>58.51611439285017</v>
      </c>
      <c r="S101" s="1509">
        <f t="shared" si="35"/>
        <v>171.35941615291358</v>
      </c>
      <c r="T101" s="1509">
        <f t="shared" si="36"/>
        <v>115.38270365905373</v>
      </c>
      <c r="U101" s="1511">
        <f t="shared" si="37"/>
        <v>0</v>
      </c>
      <c r="V101" s="1509">
        <f t="shared" si="38"/>
        <v>429.112502129186</v>
      </c>
      <c r="W101" s="1454">
        <v>0.4</v>
      </c>
      <c r="X101" s="530">
        <f t="shared" si="39"/>
        <v>2426.7883762416568</v>
      </c>
      <c r="Y101" s="1508">
        <f t="shared" si="78"/>
        <v>2855.9008783708427</v>
      </c>
      <c r="Z101" s="1509">
        <f t="shared" si="79"/>
        <v>8972.213408948086</v>
      </c>
      <c r="AA101" s="1511">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98.572857430742403</v>
      </c>
      <c r="BW101" s="114">
        <f t="shared" si="63"/>
        <v>0.47521627923214255</v>
      </c>
      <c r="BX101" s="1686">
        <f t="shared" si="24"/>
        <v>51.275503644747033</v>
      </c>
      <c r="BY101" s="527">
        <f t="shared" si="64"/>
        <v>98.572857430742403</v>
      </c>
      <c r="BZ101" s="417">
        <f t="shared" si="65"/>
        <v>0.47521627923214255</v>
      </c>
      <c r="CA101" s="544">
        <f t="shared" si="25"/>
        <v>51.275503644747033</v>
      </c>
      <c r="CB101" s="649">
        <f t="shared" si="26"/>
        <v>9.726841017376453E-2</v>
      </c>
      <c r="CC101" s="525">
        <f t="shared" si="66"/>
        <v>0.26553132931308865</v>
      </c>
      <c r="CD101" s="417">
        <f t="shared" si="27"/>
        <v>9.726841017376453E-2</v>
      </c>
      <c r="CE101" s="525">
        <f t="shared" si="67"/>
        <v>0.26553132931308865</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6">
        <f>'Input data'!B122</f>
        <v>60.682333816399378</v>
      </c>
      <c r="C102" s="1507">
        <f>'Input data'!C122</f>
        <v>4403.1093139322493</v>
      </c>
      <c r="D102" s="1507">
        <f>'Input data'!D122</f>
        <v>50359792.847133137</v>
      </c>
      <c r="E102" s="1455">
        <f t="shared" si="75"/>
        <v>0.82449230769230786</v>
      </c>
      <c r="F102" s="1449">
        <f t="shared" si="76"/>
        <v>0.32052307692307697</v>
      </c>
      <c r="G102" s="1554">
        <f>B102*F102*'Input data'!$C$9</f>
        <v>595.31061323185247</v>
      </c>
      <c r="H102" s="1549">
        <f>'Input data'!I122</f>
        <v>424.26313389388866</v>
      </c>
      <c r="I102" s="1557">
        <f>'Input data'!K122</f>
        <v>25745.277116940699</v>
      </c>
      <c r="J102" s="1557">
        <f>J97*(1-$G$4)</f>
        <v>5572.0157409803969</v>
      </c>
      <c r="K102" s="1511">
        <f t="shared" si="77"/>
        <v>6392.2894869731472</v>
      </c>
      <c r="L102" s="1504">
        <f t="shared" si="28"/>
        <v>0.62615384615384628</v>
      </c>
      <c r="M102" s="1504">
        <f t="shared" si="29"/>
        <v>0.49969230769230777</v>
      </c>
      <c r="N102" s="1504">
        <f t="shared" si="30"/>
        <v>0.78430769230769215</v>
      </c>
      <c r="O102" s="1504">
        <f t="shared" si="31"/>
        <v>0.83846153846153837</v>
      </c>
      <c r="P102" s="1449">
        <f t="shared" si="32"/>
        <v>0.23600000000000002</v>
      </c>
      <c r="Q102" s="1508">
        <f t="shared" si="33"/>
        <v>106.02472547011826</v>
      </c>
      <c r="R102" s="1509">
        <f t="shared" si="34"/>
        <v>73.987348737881234</v>
      </c>
      <c r="S102" s="1509">
        <f t="shared" si="35"/>
        <v>216.66559739951617</v>
      </c>
      <c r="T102" s="1509">
        <f t="shared" si="36"/>
        <v>145.88904992271819</v>
      </c>
      <c r="U102" s="1511">
        <f t="shared" si="37"/>
        <v>0</v>
      </c>
      <c r="V102" s="1509">
        <f t="shared" si="38"/>
        <v>542.56672153023385</v>
      </c>
      <c r="W102" s="1454">
        <f>$E$26</f>
        <v>0.5</v>
      </c>
      <c r="X102" s="530">
        <f t="shared" si="39"/>
        <v>3033.4854703020706</v>
      </c>
      <c r="Y102" s="1508">
        <f t="shared" si="78"/>
        <v>3576.0521918323043</v>
      </c>
      <c r="Z102" s="1509">
        <f t="shared" si="79"/>
        <v>8388.2530361212393</v>
      </c>
      <c r="AA102" s="1511">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95.375563444580123</v>
      </c>
      <c r="BW102" s="114">
        <f t="shared" si="63"/>
        <v>0.51479453896459015</v>
      </c>
      <c r="BX102" s="1686">
        <f t="shared" si="24"/>
        <v>50.359792847133136</v>
      </c>
      <c r="BY102" s="527">
        <f t="shared" si="64"/>
        <v>95.375563444580123</v>
      </c>
      <c r="BZ102" s="417">
        <f t="shared" si="65"/>
        <v>0.51479453896459015</v>
      </c>
      <c r="CA102" s="544">
        <f t="shared" si="25"/>
        <v>50.359792847133136</v>
      </c>
      <c r="CB102" s="649">
        <f t="shared" si="26"/>
        <v>0.15764324460297707</v>
      </c>
      <c r="CC102" s="525">
        <f t="shared" si="66"/>
        <v>0.28688527869320646</v>
      </c>
      <c r="CD102" s="417">
        <f t="shared" si="27"/>
        <v>0.15764324460297707</v>
      </c>
      <c r="CE102" s="525">
        <f t="shared" si="67"/>
        <v>0.28688527869320646</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6">
        <f>'Input data'!B123</f>
        <v>61.381040636574369</v>
      </c>
      <c r="C103" s="1507">
        <f>'Input data'!C123</f>
        <v>4507.0199361395535</v>
      </c>
      <c r="D103" s="1507">
        <f>'Input data'!D123</f>
        <v>49986151.288104504</v>
      </c>
      <c r="E103" s="1455">
        <f t="shared" si="75"/>
        <v>0.84643076923076943</v>
      </c>
      <c r="F103" s="1449">
        <f t="shared" si="76"/>
        <v>0.32670769230769237</v>
      </c>
      <c r="G103" s="1554">
        <f>B103*F103*'Input data'!$C$9</f>
        <v>613.78412832495871</v>
      </c>
      <c r="H103" s="1549">
        <f>'Input data'!I123</f>
        <v>424.26313389388866</v>
      </c>
      <c r="I103" s="1557">
        <f>'Input data'!K123</f>
        <v>26041.712662141173</v>
      </c>
      <c r="J103" s="1557">
        <f>($J$107-$J$102)/($A$107-$A$102)+J102</f>
        <v>5237.6947965215732</v>
      </c>
      <c r="K103" s="1511">
        <f t="shared" si="77"/>
        <v>6864.3694979622578</v>
      </c>
      <c r="L103" s="1504">
        <f t="shared" si="28"/>
        <v>0.63538461538461555</v>
      </c>
      <c r="M103" s="1504">
        <f t="shared" si="29"/>
        <v>0.51223076923076927</v>
      </c>
      <c r="N103" s="1504">
        <f t="shared" si="30"/>
        <v>0.79876923076923056</v>
      </c>
      <c r="O103" s="1504">
        <f t="shared" si="31"/>
        <v>0.84615384615384603</v>
      </c>
      <c r="P103" s="1449">
        <f t="shared" si="32"/>
        <v>0.23600000000000002</v>
      </c>
      <c r="Q103" s="1508">
        <f t="shared" si="33"/>
        <v>128.6946148561783</v>
      </c>
      <c r="R103" s="1509">
        <f t="shared" si="34"/>
        <v>89.807102143687757</v>
      </c>
      <c r="S103" s="1509">
        <f t="shared" si="35"/>
        <v>262.99238678786514</v>
      </c>
      <c r="T103" s="1509">
        <f t="shared" si="36"/>
        <v>177.08260981849526</v>
      </c>
      <c r="U103" s="1511">
        <f t="shared" si="37"/>
        <v>0</v>
      </c>
      <c r="V103" s="1509">
        <f t="shared" si="38"/>
        <v>658.57671360622646</v>
      </c>
      <c r="W103" s="1454">
        <f>($N$147-$N$142)/($A$107-$A$102)+W102</f>
        <v>0.5</v>
      </c>
      <c r="X103" s="530">
        <f t="shared" si="39"/>
        <v>3033.4854703020706</v>
      </c>
      <c r="Y103" s="1508">
        <f t="shared" si="78"/>
        <v>3692.0621839082969</v>
      </c>
      <c r="Z103" s="1509">
        <f t="shared" si="79"/>
        <v>8410.0021105755332</v>
      </c>
      <c r="AA103" s="1511">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95.290411591740877</v>
      </c>
      <c r="BW103" s="114">
        <f t="shared" si="63"/>
        <v>0.53469570275482714</v>
      </c>
      <c r="BX103" s="1686">
        <f t="shared" si="24"/>
        <v>49.986151288104502</v>
      </c>
      <c r="BY103" s="527">
        <f t="shared" si="64"/>
        <v>95.290411591740877</v>
      </c>
      <c r="BZ103" s="417">
        <f t="shared" si="65"/>
        <v>0.53469570275482714</v>
      </c>
      <c r="CA103" s="544">
        <f t="shared" si="25"/>
        <v>49.986151288104502</v>
      </c>
      <c r="CB103" s="649">
        <f t="shared" si="26"/>
        <v>0.17661362793734681</v>
      </c>
      <c r="CC103" s="525">
        <f t="shared" si="66"/>
        <v>0.29135593588242947</v>
      </c>
      <c r="CD103" s="417">
        <f t="shared" si="27"/>
        <v>0.17661362793734681</v>
      </c>
      <c r="CE103" s="525">
        <f t="shared" si="67"/>
        <v>0.29135593588242947</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6">
        <f>'Input data'!B124</f>
        <v>62.087792487153699</v>
      </c>
      <c r="C104" s="1507">
        <f>'Input data'!C124</f>
        <v>4624.8292728728675</v>
      </c>
      <c r="D104" s="1507">
        <f>'Input data'!D124</f>
        <v>51073828.378576256</v>
      </c>
      <c r="E104" s="1455">
        <f t="shared" si="75"/>
        <v>0.868369230769231</v>
      </c>
      <c r="F104" s="1449">
        <f t="shared" si="76"/>
        <v>0.33289230769230777</v>
      </c>
      <c r="G104" s="1554">
        <f>B104*F104*'Input data'!$C$9</f>
        <v>632.60413388193626</v>
      </c>
      <c r="H104" s="1549">
        <f>'Input data'!I124</f>
        <v>424.26313389388866</v>
      </c>
      <c r="I104" s="1557">
        <f>'Input data'!K124</f>
        <v>26341.561417153265</v>
      </c>
      <c r="J104" s="1557">
        <f t="shared" ref="J104:J106" si="85">($J$107-$J$102)/($A$107-$A$102)+J103</f>
        <v>4903.3738520627494</v>
      </c>
      <c r="K104" s="1511">
        <f t="shared" si="77"/>
        <v>7338.035690518097</v>
      </c>
      <c r="L104" s="1504">
        <f t="shared" si="28"/>
        <v>0.64461538461538481</v>
      </c>
      <c r="M104" s="1504">
        <f t="shared" si="29"/>
        <v>0.52476923076923077</v>
      </c>
      <c r="N104" s="1504">
        <f t="shared" si="30"/>
        <v>0.81323076923076898</v>
      </c>
      <c r="O104" s="1504">
        <f t="shared" si="31"/>
        <v>0.8538461538461537</v>
      </c>
      <c r="P104" s="1449">
        <f t="shared" si="32"/>
        <v>0.23600000000000002</v>
      </c>
      <c r="Q104" s="1508">
        <f t="shared" si="33"/>
        <v>151.87249789664475</v>
      </c>
      <c r="R104" s="1509">
        <f t="shared" si="34"/>
        <v>105.98134931025186</v>
      </c>
      <c r="S104" s="1509">
        <f t="shared" si="35"/>
        <v>310.35728071380208</v>
      </c>
      <c r="T104" s="1509">
        <f t="shared" si="36"/>
        <v>208.97516432406155</v>
      </c>
      <c r="U104" s="1511">
        <f t="shared" si="37"/>
        <v>0</v>
      </c>
      <c r="V104" s="1509">
        <f t="shared" si="38"/>
        <v>777.18629224476024</v>
      </c>
      <c r="W104" s="1454">
        <f>($N$147-$N$142)/($A$107-$A$102)+W103</f>
        <v>0.5</v>
      </c>
      <c r="X104" s="530">
        <f t="shared" si="39"/>
        <v>3033.4854703020706</v>
      </c>
      <c r="Y104" s="1508">
        <f t="shared" si="78"/>
        <v>3810.6717625468309</v>
      </c>
      <c r="Z104" s="1509">
        <f t="shared" si="79"/>
        <v>8430.7377800340146</v>
      </c>
      <c r="AA104" s="1511">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96.739542593552457</v>
      </c>
      <c r="BW104" s="114">
        <f t="shared" si="63"/>
        <v>0.5500717918683522</v>
      </c>
      <c r="BX104" s="1686">
        <f t="shared" si="24"/>
        <v>51.073828378576259</v>
      </c>
      <c r="BY104" s="527">
        <f t="shared" si="64"/>
        <v>96.739542593552457</v>
      </c>
      <c r="BZ104" s="417">
        <f t="shared" si="65"/>
        <v>0.5500717918683522</v>
      </c>
      <c r="CA104" s="544">
        <f t="shared" si="25"/>
        <v>51.073828378576259</v>
      </c>
      <c r="CB104" s="649">
        <f t="shared" si="26"/>
        <v>0.19519681863773264</v>
      </c>
      <c r="CC104" s="525">
        <f t="shared" si="66"/>
        <v>0.29213779631812875</v>
      </c>
      <c r="CD104" s="417">
        <f t="shared" si="27"/>
        <v>0.19519681863773264</v>
      </c>
      <c r="CE104" s="525">
        <f t="shared" si="67"/>
        <v>0.29213779631812875</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6">
        <f>'Input data'!B125</f>
        <v>62.802682000000026</v>
      </c>
      <c r="C105" s="1507">
        <f>'Input data'!C125</f>
        <v>4737.3047749260231</v>
      </c>
      <c r="D105" s="1507">
        <f>'Input data'!D125</f>
        <v>51201731.8667503</v>
      </c>
      <c r="E105" s="1455">
        <f t="shared" si="75"/>
        <v>0.89030769230769258</v>
      </c>
      <c r="F105" s="1449">
        <f t="shared" si="76"/>
        <v>0.33907692307692316</v>
      </c>
      <c r="G105" s="1554">
        <f>B105*F105*'Input data'!$C$9</f>
        <v>651.77615985670707</v>
      </c>
      <c r="H105" s="1549">
        <f>'Input data'!I125</f>
        <v>424.26313389388866</v>
      </c>
      <c r="I105" s="1557">
        <f>'Input data'!K125</f>
        <v>26644.862682261322</v>
      </c>
      <c r="J105" s="1557">
        <f t="shared" si="85"/>
        <v>4569.0529076039256</v>
      </c>
      <c r="K105" s="1511">
        <f t="shared" si="77"/>
        <v>7813.3063282078183</v>
      </c>
      <c r="L105" s="1504">
        <f t="shared" si="28"/>
        <v>0.65384615384615408</v>
      </c>
      <c r="M105" s="1504">
        <f t="shared" si="29"/>
        <v>0.53730769230769226</v>
      </c>
      <c r="N105" s="1504">
        <f t="shared" si="30"/>
        <v>0.82769230769230739</v>
      </c>
      <c r="O105" s="1504">
        <f t="shared" si="31"/>
        <v>0.86153846153846136</v>
      </c>
      <c r="P105" s="1449">
        <f t="shared" si="32"/>
        <v>0.23600000000000002</v>
      </c>
      <c r="Q105" s="1508">
        <f t="shared" si="33"/>
        <v>175.56706735725811</v>
      </c>
      <c r="R105" s="1509">
        <f t="shared" si="34"/>
        <v>122.51615631968355</v>
      </c>
      <c r="S105" s="1509">
        <f t="shared" si="35"/>
        <v>358.77804317788559</v>
      </c>
      <c r="T105" s="1509">
        <f t="shared" si="36"/>
        <v>241.57867460535908</v>
      </c>
      <c r="U105" s="1511">
        <f t="shared" si="37"/>
        <v>0</v>
      </c>
      <c r="V105" s="1509">
        <f t="shared" si="38"/>
        <v>898.43994146018633</v>
      </c>
      <c r="W105" s="1454">
        <f>($N$147-$N$142)/($A$107-$A$102)+W104</f>
        <v>0.5</v>
      </c>
      <c r="X105" s="530">
        <f t="shared" si="39"/>
        <v>3033.4854703020706</v>
      </c>
      <c r="Y105" s="1508">
        <f t="shared" si="78"/>
        <v>3931.9254117622568</v>
      </c>
      <c r="Z105" s="1509">
        <f t="shared" si="79"/>
        <v>8450.4338240494872</v>
      </c>
      <c r="AA105" s="1511">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97.20323675199424</v>
      </c>
      <c r="BW105" s="114">
        <f t="shared" si="63"/>
        <v>0.56837627074733488</v>
      </c>
      <c r="BX105" s="1686">
        <f t="shared" si="24"/>
        <v>51.201731866750301</v>
      </c>
      <c r="BY105" s="527">
        <f t="shared" si="64"/>
        <v>97.20323675199424</v>
      </c>
      <c r="BZ105" s="417">
        <f t="shared" si="65"/>
        <v>0.56837627074733488</v>
      </c>
      <c r="CA105" s="544">
        <f t="shared" si="25"/>
        <v>51.201731866750301</v>
      </c>
      <c r="CB105" s="649">
        <f t="shared" si="26"/>
        <v>0.21340034507035144</v>
      </c>
      <c r="CC105" s="525">
        <f t="shared" si="66"/>
        <v>0.29531524673892984</v>
      </c>
      <c r="CD105" s="417">
        <f t="shared" si="27"/>
        <v>0.21340034507035144</v>
      </c>
      <c r="CE105" s="525">
        <f t="shared" si="67"/>
        <v>0.29531524673892984</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6">
        <f>'Input data'!B126</f>
        <v>63.421065342005143</v>
      </c>
      <c r="C106" s="1507">
        <f>'Input data'!C126</f>
        <v>4839.0369685354799</v>
      </c>
      <c r="D106" s="1507">
        <f>'Input data'!D126</f>
        <v>50537069.53539668</v>
      </c>
      <c r="E106" s="1455">
        <f t="shared" si="75"/>
        <v>0.91224615384615415</v>
      </c>
      <c r="F106" s="1449">
        <f t="shared" si="76"/>
        <v>0.34526153846153856</v>
      </c>
      <c r="G106" s="1554">
        <f>B106*F106*'Input data'!$C$9</f>
        <v>670.19900886595155</v>
      </c>
      <c r="H106" s="1549">
        <f>'Input data'!I126</f>
        <v>424.26313389388866</v>
      </c>
      <c r="I106" s="1557">
        <f>'Input data'!K126</f>
        <v>26907.219936888188</v>
      </c>
      <c r="J106" s="1557">
        <f t="shared" si="85"/>
        <v>4234.7319631451019</v>
      </c>
      <c r="K106" s="1511">
        <f t="shared" si="77"/>
        <v>8269.5495288873099</v>
      </c>
      <c r="L106" s="1504">
        <f t="shared" si="28"/>
        <v>0.66307692307692334</v>
      </c>
      <c r="M106" s="1504">
        <f t="shared" si="29"/>
        <v>0.54984615384615376</v>
      </c>
      <c r="N106" s="1504">
        <f t="shared" si="30"/>
        <v>0.84215384615384581</v>
      </c>
      <c r="O106" s="1504">
        <f t="shared" si="31"/>
        <v>0.86923076923076903</v>
      </c>
      <c r="P106" s="1449">
        <f t="shared" si="32"/>
        <v>0.23600000000000002</v>
      </c>
      <c r="Q106" s="1508">
        <f t="shared" si="33"/>
        <v>199.45775177427959</v>
      </c>
      <c r="R106" s="1509">
        <f t="shared" si="34"/>
        <v>139.18781844105331</v>
      </c>
      <c r="S106" s="1509">
        <f t="shared" si="35"/>
        <v>407.5995740853723</v>
      </c>
      <c r="T106" s="1509">
        <f t="shared" si="36"/>
        <v>274.45203726815635</v>
      </c>
      <c r="U106" s="1511">
        <f t="shared" si="37"/>
        <v>0</v>
      </c>
      <c r="V106" s="1509">
        <f t="shared" si="38"/>
        <v>1020.6971815688615</v>
      </c>
      <c r="W106" s="1454">
        <f>($N$147-$N$142)/($A$107-$A$102)+W105</f>
        <v>0.5</v>
      </c>
      <c r="X106" s="530">
        <f t="shared" si="39"/>
        <v>3033.4854703020706</v>
      </c>
      <c r="Y106" s="1508">
        <f t="shared" si="78"/>
        <v>4054.1826518709322</v>
      </c>
      <c r="Z106" s="1509">
        <f t="shared" si="79"/>
        <v>8450.0988401614813</v>
      </c>
      <c r="AA106" s="1511">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96.808053509580205</v>
      </c>
      <c r="BW106" s="114">
        <f t="shared" si="63"/>
        <v>0.58867201562867277</v>
      </c>
      <c r="BX106" s="1686">
        <f t="shared" si="24"/>
        <v>50.537069535396682</v>
      </c>
      <c r="BY106" s="527">
        <f t="shared" si="64"/>
        <v>96.808053509580205</v>
      </c>
      <c r="BZ106" s="417">
        <f t="shared" si="65"/>
        <v>0.58867201562867277</v>
      </c>
      <c r="CA106" s="544">
        <f t="shared" si="25"/>
        <v>50.537069535396682</v>
      </c>
      <c r="CB106" s="649">
        <f t="shared" si="26"/>
        <v>0.23044140465623386</v>
      </c>
      <c r="CC106" s="525">
        <f t="shared" si="66"/>
        <v>0.30025423701033693</v>
      </c>
      <c r="CD106" s="417">
        <f t="shared" si="27"/>
        <v>0.23044140465623386</v>
      </c>
      <c r="CE106" s="525">
        <f t="shared" si="67"/>
        <v>0.30025423701033693</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6">
        <f>'Input data'!B127</f>
        <v>64.045537563425796</v>
      </c>
      <c r="C107" s="1507">
        <f>'Input data'!C127</f>
        <v>4937.5264455117067</v>
      </c>
      <c r="D107" s="1507">
        <f>'Input data'!D127</f>
        <v>49329037.288601168</v>
      </c>
      <c r="E107" s="1455">
        <f t="shared" si="75"/>
        <v>0.93418461538461572</v>
      </c>
      <c r="F107" s="1449">
        <f t="shared" si="76"/>
        <v>0.35144615384615396</v>
      </c>
      <c r="G107" s="1554">
        <f>B107*F107*'Input data'!$C$9</f>
        <v>688.92146577149424</v>
      </c>
      <c r="H107" s="1549">
        <f>'Input data'!I127</f>
        <v>424.26313389388866</v>
      </c>
      <c r="I107" s="1557">
        <f>'Input data'!K127</f>
        <v>27172.160478577796</v>
      </c>
      <c r="J107" s="1557">
        <f>J97*(1-$G$5)</f>
        <v>3900.4110186862777</v>
      </c>
      <c r="K107" s="1511">
        <f t="shared" si="77"/>
        <v>8726.9932307216241</v>
      </c>
      <c r="L107" s="1504">
        <f t="shared" si="28"/>
        <v>0.67230769230769261</v>
      </c>
      <c r="M107" s="1504">
        <f t="shared" si="29"/>
        <v>0.56238461538461526</v>
      </c>
      <c r="N107" s="1504">
        <f t="shared" si="30"/>
        <v>0.85661538461538422</v>
      </c>
      <c r="O107" s="1504">
        <f t="shared" si="31"/>
        <v>0.87692307692307669</v>
      </c>
      <c r="P107" s="1449">
        <f t="shared" si="32"/>
        <v>0.23600000000000002</v>
      </c>
      <c r="Q107" s="1508">
        <f t="shared" si="33"/>
        <v>223.80189128168513</v>
      </c>
      <c r="R107" s="1509">
        <f t="shared" si="34"/>
        <v>156.17591561811867</v>
      </c>
      <c r="S107" s="1509">
        <f t="shared" si="35"/>
        <v>457.34775788081879</v>
      </c>
      <c r="T107" s="1509">
        <f t="shared" si="36"/>
        <v>307.94934997680866</v>
      </c>
      <c r="U107" s="1511">
        <f t="shared" si="37"/>
        <v>0</v>
      </c>
      <c r="V107" s="1509">
        <f t="shared" si="38"/>
        <v>1145.2749147574314</v>
      </c>
      <c r="W107" s="1454">
        <f>$C$27</f>
        <v>0.5</v>
      </c>
      <c r="X107" s="530">
        <f t="shared" si="39"/>
        <v>3033.4854703020706</v>
      </c>
      <c r="Y107" s="1508">
        <f t="shared" si="78"/>
        <v>4178.7603850595024</v>
      </c>
      <c r="Z107" s="1509">
        <f t="shared" si="79"/>
        <v>8448.6438643483998</v>
      </c>
      <c r="AA107" s="1511">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95.853717946039325</v>
      </c>
      <c r="BW107" s="114">
        <f t="shared" si="63"/>
        <v>0.61033700648771894</v>
      </c>
      <c r="BX107" s="1686">
        <f t="shared" si="24"/>
        <v>49.329037288601171</v>
      </c>
      <c r="BY107" s="527">
        <f t="shared" si="64"/>
        <v>95.853717946039325</v>
      </c>
      <c r="BZ107" s="417">
        <f t="shared" si="65"/>
        <v>0.61033700648771894</v>
      </c>
      <c r="CA107" s="544">
        <f t="shared" si="25"/>
        <v>49.329037288601171</v>
      </c>
      <c r="CB107" s="649">
        <f t="shared" si="26"/>
        <v>0.24719384179753368</v>
      </c>
      <c r="CC107" s="525">
        <f t="shared" si="66"/>
        <v>0.3065711826671903</v>
      </c>
      <c r="CD107" s="417">
        <f t="shared" si="27"/>
        <v>0.24719384179753368</v>
      </c>
      <c r="CE107" s="525">
        <f t="shared" si="67"/>
        <v>0.3065711826671903</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6">
        <f>'Input data'!B128</f>
        <v>64.676158618096451</v>
      </c>
      <c r="C108" s="1507">
        <f>'Input data'!C128</f>
        <v>5030.8888370380655</v>
      </c>
      <c r="D108" s="1507">
        <f>'Input data'!D128</f>
        <v>48528826.860263921</v>
      </c>
      <c r="E108" s="1455">
        <f t="shared" si="75"/>
        <v>0.9561230769230773</v>
      </c>
      <c r="F108" s="1449">
        <f t="shared" si="76"/>
        <v>0.35763076923076936</v>
      </c>
      <c r="G108" s="1554">
        <f>B108*F108*'Input data'!$C$9</f>
        <v>707.94764457850295</v>
      </c>
      <c r="H108" s="1549">
        <f>'Input data'!I128</f>
        <v>424.26313389388866</v>
      </c>
      <c r="I108" s="1557">
        <f>'Input data'!K128</f>
        <v>27439.709743531836</v>
      </c>
      <c r="J108" s="1557">
        <f>($J$112-$J$107)/($A$112-$A$107)+J107</f>
        <v>3566.0900742274539</v>
      </c>
      <c r="K108" s="1511">
        <f t="shared" si="77"/>
        <v>9185.6492543829336</v>
      </c>
      <c r="L108" s="1504">
        <f t="shared" si="28"/>
        <v>0.68153846153846187</v>
      </c>
      <c r="M108" s="1504">
        <f t="shared" si="29"/>
        <v>0.57492307692307676</v>
      </c>
      <c r="N108" s="1504">
        <f t="shared" si="30"/>
        <v>0.87107692307692264</v>
      </c>
      <c r="O108" s="1504">
        <f t="shared" si="31"/>
        <v>0.88461538461538436</v>
      </c>
      <c r="P108" s="1449">
        <f t="shared" si="32"/>
        <v>0.23600000000000002</v>
      </c>
      <c r="Q108" s="1508">
        <f t="shared" si="33"/>
        <v>248.60609946091267</v>
      </c>
      <c r="R108" s="1509">
        <f t="shared" si="34"/>
        <v>173.48506301356042</v>
      </c>
      <c r="S108" s="1509">
        <f t="shared" si="35"/>
        <v>508.03610967182658</v>
      </c>
      <c r="T108" s="1509">
        <f t="shared" si="36"/>
        <v>342.07971295872221</v>
      </c>
      <c r="U108" s="1511">
        <f t="shared" si="37"/>
        <v>0</v>
      </c>
      <c r="V108" s="1509">
        <f t="shared" si="38"/>
        <v>1272.2069851050219</v>
      </c>
      <c r="W108" s="1454">
        <f>W107</f>
        <v>0.5</v>
      </c>
      <c r="X108" s="530">
        <f t="shared" si="39"/>
        <v>3033.4854703020706</v>
      </c>
      <c r="Y108" s="1508">
        <f t="shared" si="78"/>
        <v>4305.692455407092</v>
      </c>
      <c r="Z108" s="1509">
        <f t="shared" si="79"/>
        <v>8446.046873203295</v>
      </c>
      <c r="AA108" s="1511">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95.28172157958501</v>
      </c>
      <c r="BW108" s="114">
        <f t="shared" si="63"/>
        <v>0.63046152845473658</v>
      </c>
      <c r="BX108" s="1686">
        <f t="shared" si="24"/>
        <v>48.528826860263919</v>
      </c>
      <c r="BY108" s="527">
        <f t="shared" si="64"/>
        <v>95.28172157958501</v>
      </c>
      <c r="BZ108" s="417">
        <f t="shared" si="65"/>
        <v>0.63046152845473658</v>
      </c>
      <c r="CA108" s="544">
        <f t="shared" si="25"/>
        <v>48.528826860263919</v>
      </c>
      <c r="CB108" s="649">
        <f t="shared" si="26"/>
        <v>0.26366335378378059</v>
      </c>
      <c r="CC108" s="525">
        <f t="shared" si="66"/>
        <v>0.31157315481005166</v>
      </c>
      <c r="CD108" s="417">
        <f t="shared" si="27"/>
        <v>0.26366335378378059</v>
      </c>
      <c r="CE108" s="525">
        <f t="shared" si="67"/>
        <v>0.31157315481005166</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6">
        <f>'Input data'!B129</f>
        <v>65.31298905018393</v>
      </c>
      <c r="C109" s="1507">
        <f>'Input data'!C129</f>
        <v>5147.1070268118992</v>
      </c>
      <c r="D109" s="1507">
        <f>'Input data'!D129</f>
        <v>46965110.037548423</v>
      </c>
      <c r="E109" s="1455">
        <f t="shared" si="75"/>
        <v>0.97806153846153887</v>
      </c>
      <c r="F109" s="1449">
        <f t="shared" si="76"/>
        <v>0.36381538461538476</v>
      </c>
      <c r="G109" s="1554">
        <f>B109*F109*'Input data'!$C$9</f>
        <v>727.28171126107532</v>
      </c>
      <c r="H109" s="1549">
        <f>'Input data'!I129</f>
        <v>424.26313389388866</v>
      </c>
      <c r="I109" s="1557">
        <f>'Input data'!K129</f>
        <v>27709.893418408268</v>
      </c>
      <c r="J109" s="1557">
        <f t="shared" ref="J109:J111" si="86">($J$112-$J$107)/($A$112-$A$107)+J108</f>
        <v>3231.7691297686301</v>
      </c>
      <c r="K109" s="1511">
        <f t="shared" si="77"/>
        <v>9645.5295369350624</v>
      </c>
      <c r="L109" s="1504">
        <f t="shared" si="28"/>
        <v>0.69076923076923114</v>
      </c>
      <c r="M109" s="1504">
        <f t="shared" si="29"/>
        <v>0.58746153846153826</v>
      </c>
      <c r="N109" s="1504">
        <f t="shared" si="30"/>
        <v>0.88553846153846105</v>
      </c>
      <c r="O109" s="1504">
        <f t="shared" si="31"/>
        <v>0.89230769230769202</v>
      </c>
      <c r="P109" s="1449">
        <f t="shared" si="32"/>
        <v>0.23600000000000002</v>
      </c>
      <c r="Q109" s="1508">
        <f t="shared" si="33"/>
        <v>273.87707617034994</v>
      </c>
      <c r="R109" s="1509">
        <f t="shared" si="34"/>
        <v>191.11993599679636</v>
      </c>
      <c r="S109" s="1509">
        <f t="shared" si="35"/>
        <v>559.67832087625584</v>
      </c>
      <c r="T109" s="1509">
        <f t="shared" si="36"/>
        <v>376.85234515759566</v>
      </c>
      <c r="U109" s="1511">
        <f t="shared" si="37"/>
        <v>0</v>
      </c>
      <c r="V109" s="1509">
        <f t="shared" si="38"/>
        <v>1401.5276782009978</v>
      </c>
      <c r="W109" s="1454">
        <f t="shared" ref="W109:W130" si="87">W108</f>
        <v>0.5</v>
      </c>
      <c r="X109" s="530">
        <f t="shared" si="39"/>
        <v>3033.4854703020706</v>
      </c>
      <c r="Y109" s="1508">
        <f t="shared" si="78"/>
        <v>4435.0131485030688</v>
      </c>
      <c r="Z109" s="1509">
        <f t="shared" si="79"/>
        <v>8442.2855182006242</v>
      </c>
      <c r="AA109" s="1511">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94.064178658545941</v>
      </c>
      <c r="BW109" s="114">
        <f t="shared" si="63"/>
        <v>0.65307131403485075</v>
      </c>
      <c r="BX109" s="1686">
        <f t="shared" si="24"/>
        <v>46.965110037548421</v>
      </c>
      <c r="BY109" s="527">
        <f t="shared" si="64"/>
        <v>94.064178658545941</v>
      </c>
      <c r="BZ109" s="417">
        <f t="shared" si="65"/>
        <v>0.65307131403485075</v>
      </c>
      <c r="CA109" s="544">
        <f t="shared" si="25"/>
        <v>46.965110037548421</v>
      </c>
      <c r="CB109" s="649">
        <f t="shared" si="26"/>
        <v>0.27985563375052358</v>
      </c>
      <c r="CC109" s="525">
        <f t="shared" si="66"/>
        <v>0.31941476685457393</v>
      </c>
      <c r="CD109" s="417">
        <f t="shared" si="27"/>
        <v>0.27985563375052358</v>
      </c>
      <c r="CE109" s="525">
        <f t="shared" si="67"/>
        <v>0.31941476685457393</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6">
        <f>'Input data'!B130</f>
        <v>65.956090000000003</v>
      </c>
      <c r="C110" s="1507">
        <f>'Input data'!C130</f>
        <v>5262.1824199605107</v>
      </c>
      <c r="D110" s="1507">
        <f>'Input data'!D130</f>
        <v>45521353.842330128</v>
      </c>
      <c r="E110" s="1455">
        <f>C53</f>
        <v>1</v>
      </c>
      <c r="F110" s="1449">
        <f>D53</f>
        <v>0.37</v>
      </c>
      <c r="G110" s="1554">
        <f>B110*F110*'Input data'!$C$9</f>
        <v>746.92788438679418</v>
      </c>
      <c r="H110" s="1549">
        <f>'Input data'!I130</f>
        <v>424.26313389388866</v>
      </c>
      <c r="I110" s="1557">
        <f>'Input data'!K130</f>
        <v>27982.737442787373</v>
      </c>
      <c r="J110" s="1557">
        <f t="shared" si="86"/>
        <v>2897.4481853098064</v>
      </c>
      <c r="K110" s="1511">
        <f t="shared" si="77"/>
        <v>10106.646132979506</v>
      </c>
      <c r="L110" s="1449">
        <f>C19</f>
        <v>0.7</v>
      </c>
      <c r="M110" s="1449">
        <f>D19</f>
        <v>0.6</v>
      </c>
      <c r="N110" s="1449">
        <f>E19</f>
        <v>0.9</v>
      </c>
      <c r="O110" s="1449">
        <f>F19</f>
        <v>0.9</v>
      </c>
      <c r="P110" s="1449">
        <f>G19</f>
        <v>0.23600000000000002</v>
      </c>
      <c r="Q110" s="1508">
        <f t="shared" si="33"/>
        <v>299.62160860317135</v>
      </c>
      <c r="R110" s="1509">
        <f t="shared" si="34"/>
        <v>209.08527088217454</v>
      </c>
      <c r="S110" s="1509">
        <f t="shared" si="35"/>
        <v>612.28826138396289</v>
      </c>
      <c r="T110" s="1509">
        <f t="shared" si="36"/>
        <v>412.27658568899597</v>
      </c>
      <c r="U110" s="1511">
        <f t="shared" si="37"/>
        <v>0</v>
      </c>
      <c r="V110" s="1509">
        <f t="shared" si="38"/>
        <v>1533.2717265583046</v>
      </c>
      <c r="W110" s="1454">
        <f t="shared" si="87"/>
        <v>0.5</v>
      </c>
      <c r="X110" s="530">
        <f t="shared" si="39"/>
        <v>3033.4854703020706</v>
      </c>
      <c r="Y110" s="1508">
        <f t="shared" si="78"/>
        <v>4566.7571968603752</v>
      </c>
      <c r="Z110" s="1509">
        <f t="shared" si="79"/>
        <v>8437.3371214289364</v>
      </c>
      <c r="AA110" s="1511">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92.961458009272988</v>
      </c>
      <c r="BW110" s="114">
        <f t="shared" si="63"/>
        <v>0.67502380946204188</v>
      </c>
      <c r="BX110" s="1686">
        <f t="shared" si="24"/>
        <v>45.521353842330129</v>
      </c>
      <c r="BY110" s="527">
        <f t="shared" si="64"/>
        <v>92.961458009272988</v>
      </c>
      <c r="BZ110" s="417">
        <f t="shared" si="65"/>
        <v>0.67502380946204188</v>
      </c>
      <c r="CA110" s="544">
        <f t="shared" si="25"/>
        <v>45.521353842330129</v>
      </c>
      <c r="CB110" s="649">
        <f t="shared" si="26"/>
        <v>0.29577637461695849</v>
      </c>
      <c r="CC110" s="525">
        <f t="shared" si="66"/>
        <v>0.3268883557735357</v>
      </c>
      <c r="CD110" s="417">
        <f t="shared" si="27"/>
        <v>0.29577637461695849</v>
      </c>
      <c r="CE110" s="525">
        <f t="shared" si="67"/>
        <v>0.3268883557735357</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6">
        <f>'Input data'!B131</f>
        <v>66.518977190687664</v>
      </c>
      <c r="C111" s="1507">
        <f>'Input data'!C131</f>
        <v>5387.7672265735409</v>
      </c>
      <c r="D111" s="1507">
        <f>'Input data'!D131</f>
        <v>44085520.531554446</v>
      </c>
      <c r="E111" s="1455">
        <f>E110</f>
        <v>1</v>
      </c>
      <c r="F111" s="1449">
        <f>F110</f>
        <v>0.37</v>
      </c>
      <c r="G111" s="1554">
        <f>B111*F111*'Input data'!$C$9</f>
        <v>753.30236987386229</v>
      </c>
      <c r="H111" s="1549">
        <f>'Input data'!I131</f>
        <v>424.26313389388866</v>
      </c>
      <c r="I111" s="1557">
        <f>'Input data'!K131</f>
        <v>28221.549726337245</v>
      </c>
      <c r="J111" s="1557">
        <f t="shared" si="86"/>
        <v>2563.1272408509826</v>
      </c>
      <c r="K111" s="1511">
        <f t="shared" si="77"/>
        <v>10551.947551239295</v>
      </c>
      <c r="L111" s="1449">
        <f>L110</f>
        <v>0.7</v>
      </c>
      <c r="M111" s="1449">
        <f t="shared" ref="M111:P126" si="88">M110</f>
        <v>0.6</v>
      </c>
      <c r="N111" s="1449">
        <f t="shared" si="88"/>
        <v>0.9</v>
      </c>
      <c r="O111" s="1449">
        <f t="shared" si="88"/>
        <v>0.9</v>
      </c>
      <c r="P111" s="1449">
        <f t="shared" si="88"/>
        <v>0.23600000000000002</v>
      </c>
      <c r="Q111" s="1508">
        <f t="shared" si="33"/>
        <v>302.1786608107227</v>
      </c>
      <c r="R111" s="1509">
        <f t="shared" si="34"/>
        <v>210.86966138714581</v>
      </c>
      <c r="S111" s="1509">
        <f t="shared" si="35"/>
        <v>617.51369575009085</v>
      </c>
      <c r="T111" s="1509">
        <f t="shared" si="36"/>
        <v>415.79506607655048</v>
      </c>
      <c r="U111" s="1511">
        <f t="shared" si="37"/>
        <v>0</v>
      </c>
      <c r="V111" s="1509">
        <f t="shared" si="38"/>
        <v>1546.3570840245097</v>
      </c>
      <c r="W111" s="1454">
        <f t="shared" si="87"/>
        <v>0.5</v>
      </c>
      <c r="X111" s="530">
        <f t="shared" si="39"/>
        <v>3033.4854703020706</v>
      </c>
      <c r="Y111" s="1508">
        <f t="shared" si="78"/>
        <v>4579.8425543265803</v>
      </c>
      <c r="Z111" s="1509">
        <f t="shared" si="79"/>
        <v>8535.2322377636974</v>
      </c>
      <c r="AA111" s="1511">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91.775978456058198</v>
      </c>
      <c r="BW111" s="114">
        <f t="shared" si="63"/>
        <v>0.68385584062527216</v>
      </c>
      <c r="BX111" s="1686">
        <f t="shared" si="24"/>
        <v>44.085520531554444</v>
      </c>
      <c r="BY111" s="527">
        <f t="shared" si="64"/>
        <v>91.775978456058198</v>
      </c>
      <c r="BZ111" s="417">
        <f t="shared" si="65"/>
        <v>0.68385584062527216</v>
      </c>
      <c r="CA111" s="544">
        <f t="shared" si="25"/>
        <v>44.085520531554444</v>
      </c>
      <c r="CB111" s="649">
        <f t="shared" si="26"/>
        <v>0.31568192095747505</v>
      </c>
      <c r="CC111" s="525">
        <f t="shared" si="66"/>
        <v>0.33462375034984448</v>
      </c>
      <c r="CD111" s="417">
        <f t="shared" si="27"/>
        <v>0.31568192095747505</v>
      </c>
      <c r="CE111" s="525">
        <f t="shared" si="67"/>
        <v>0.33462375034984448</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6">
        <f>'Input data'!B132</f>
        <v>67.08666821358311</v>
      </c>
      <c r="C112" s="1507">
        <f>'Input data'!C132</f>
        <v>5535.3993263804541</v>
      </c>
      <c r="D112" s="1507">
        <f>'Input data'!D132</f>
        <v>41932973.31689404</v>
      </c>
      <c r="E112" s="1455">
        <f t="shared" ref="E112:F127" si="89">E111</f>
        <v>1</v>
      </c>
      <c r="F112" s="1449">
        <f t="shared" si="89"/>
        <v>0.37</v>
      </c>
      <c r="G112" s="1554">
        <f>B112*F112*'Input data'!$C$9</f>
        <v>759.73125695186627</v>
      </c>
      <c r="H112" s="1549">
        <f>'Input data'!I132</f>
        <v>424.26313389388866</v>
      </c>
      <c r="I112" s="1557">
        <f>'Input data'!K132</f>
        <v>28462.400098794296</v>
      </c>
      <c r="J112" s="1557">
        <f>J97*(1-$G$6)</f>
        <v>2228.8062963921584</v>
      </c>
      <c r="K112" s="1511">
        <f t="shared" si="77"/>
        <v>10998.19610701314</v>
      </c>
      <c r="L112" s="1449">
        <f>C20</f>
        <v>0.7</v>
      </c>
      <c r="M112" s="1449">
        <f>D20</f>
        <v>0.6</v>
      </c>
      <c r="N112" s="1449">
        <f t="shared" si="88"/>
        <v>0.9</v>
      </c>
      <c r="O112" s="1449">
        <f t="shared" si="88"/>
        <v>0.9</v>
      </c>
      <c r="P112" s="1449">
        <f t="shared" si="88"/>
        <v>0.23600000000000002</v>
      </c>
      <c r="Q112" s="1508">
        <f t="shared" si="33"/>
        <v>304.75753559650093</v>
      </c>
      <c r="R112" s="1509">
        <f t="shared" si="34"/>
        <v>212.66928036546119</v>
      </c>
      <c r="S112" s="1509">
        <f t="shared" si="35"/>
        <v>622.7837253927205</v>
      </c>
      <c r="T112" s="1509">
        <f t="shared" si="36"/>
        <v>419.34357413161615</v>
      </c>
      <c r="U112" s="1511">
        <f t="shared" si="37"/>
        <v>0</v>
      </c>
      <c r="V112" s="1509">
        <f t="shared" si="38"/>
        <v>1559.5541154862988</v>
      </c>
      <c r="W112" s="1454">
        <f t="shared" si="87"/>
        <v>0.5</v>
      </c>
      <c r="X112" s="530">
        <f t="shared" si="39"/>
        <v>3033.4854703020706</v>
      </c>
      <c r="Y112" s="1508">
        <f t="shared" si="78"/>
        <v>4593.0395857883695</v>
      </c>
      <c r="Z112" s="1509">
        <f t="shared" si="79"/>
        <v>8633.9628176169281</v>
      </c>
      <c r="AA112" s="1511">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89.988360184221079</v>
      </c>
      <c r="BW112" s="114">
        <f t="shared" si="63"/>
        <v>0.69564296726310382</v>
      </c>
      <c r="BX112" s="1686">
        <f t="shared" si="24"/>
        <v>41.932973316894042</v>
      </c>
      <c r="BY112" s="527">
        <f t="shared" si="64"/>
        <v>89.988360184221079</v>
      </c>
      <c r="BZ112" s="417">
        <f t="shared" si="65"/>
        <v>0.69564296726310382</v>
      </c>
      <c r="CA112" s="544">
        <f t="shared" si="25"/>
        <v>41.932973316894042</v>
      </c>
      <c r="CB112" s="649">
        <f t="shared" si="26"/>
        <v>0.33524737223917422</v>
      </c>
      <c r="CC112" s="525">
        <f t="shared" si="66"/>
        <v>0.34517500304929016</v>
      </c>
      <c r="CD112" s="417">
        <f t="shared" si="27"/>
        <v>0.33524737223917422</v>
      </c>
      <c r="CE112" s="525">
        <f t="shared" si="67"/>
        <v>0.34517500304929016</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1">
        <f>'Input data'!B133</f>
        <v>67.659204065895452</v>
      </c>
      <c r="C113" s="1550">
        <f>'Input data'!C133</f>
        <v>5694.7516404688276</v>
      </c>
      <c r="D113" s="1550">
        <f>'Input data'!D133</f>
        <v>41056214.022582531</v>
      </c>
      <c r="E113" s="1455">
        <f t="shared" si="89"/>
        <v>1</v>
      </c>
      <c r="F113" s="1449">
        <f t="shared" si="89"/>
        <v>0.37</v>
      </c>
      <c r="G113" s="1554">
        <f>B113*F113*'Input data'!$C$9</f>
        <v>766.21500989876245</v>
      </c>
      <c r="H113" s="1542">
        <f>'Input data'!I133</f>
        <v>424.26313389388866</v>
      </c>
      <c r="I113" s="1509">
        <f>'Input data'!K133</f>
        <v>28705.305953762938</v>
      </c>
      <c r="J113" s="1509">
        <f>J112</f>
        <v>2228.8062963921584</v>
      </c>
      <c r="K113" s="1511">
        <f t="shared" si="77"/>
        <v>11111.078938971066</v>
      </c>
      <c r="L113" s="1504">
        <f t="shared" ref="L113:P127" si="90">L112</f>
        <v>0.7</v>
      </c>
      <c r="M113" s="1504">
        <f t="shared" si="88"/>
        <v>0.6</v>
      </c>
      <c r="N113" s="1504">
        <f t="shared" si="88"/>
        <v>0.9</v>
      </c>
      <c r="O113" s="1504">
        <f t="shared" si="88"/>
        <v>0.9</v>
      </c>
      <c r="P113" s="1504">
        <f t="shared" si="88"/>
        <v>0.23600000000000002</v>
      </c>
      <c r="Q113" s="1508">
        <f t="shared" si="33"/>
        <v>307.35841920031703</v>
      </c>
      <c r="R113" s="1509">
        <f t="shared" si="34"/>
        <v>214.484257781049</v>
      </c>
      <c r="S113" s="1509">
        <f t="shared" si="35"/>
        <v>628.09873090005567</v>
      </c>
      <c r="T113" s="1509">
        <f t="shared" si="36"/>
        <v>422.92236611846511</v>
      </c>
      <c r="U113" s="1511">
        <f t="shared" si="37"/>
        <v>0</v>
      </c>
      <c r="V113" s="1509">
        <f t="shared" si="38"/>
        <v>1572.8637739998867</v>
      </c>
      <c r="W113" s="1454">
        <f t="shared" si="87"/>
        <v>0.5</v>
      </c>
      <c r="X113" s="530">
        <f t="shared" si="39"/>
        <v>3033.4854703020706</v>
      </c>
      <c r="Y113" s="1508">
        <f t="shared" si="78"/>
        <v>4606.3492443019568</v>
      </c>
      <c r="Z113" s="1509">
        <f t="shared" si="79"/>
        <v>8733.5359910612679</v>
      </c>
      <c r="AA113" s="1511">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90.005935356484926</v>
      </c>
      <c r="BW113" s="114">
        <f t="shared" si="63"/>
        <v>0.7015470746062723</v>
      </c>
      <c r="BX113" s="1686">
        <f t="shared" si="24"/>
        <v>41.05621402258253</v>
      </c>
      <c r="BY113" s="527">
        <f t="shared" si="64"/>
        <v>90.005935356484926</v>
      </c>
      <c r="BZ113" s="417">
        <f t="shared" si="65"/>
        <v>0.7015470746062723</v>
      </c>
      <c r="CA113" s="544">
        <f t="shared" si="25"/>
        <v>41.05621402258253</v>
      </c>
      <c r="CB113" s="649">
        <f t="shared" si="26"/>
        <v>0.33818146943254268</v>
      </c>
      <c r="CC113" s="525">
        <f t="shared" si="66"/>
        <v>0.35193746497352119</v>
      </c>
      <c r="CD113" s="417">
        <f t="shared" si="27"/>
        <v>0.33818146943254268</v>
      </c>
      <c r="CE113" s="525">
        <f t="shared" si="67"/>
        <v>0.35193746497352119</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1">
        <f>'Input data'!B134</f>
        <v>68.236626094715163</v>
      </c>
      <c r="C114" s="1550">
        <f>'Input data'!C134</f>
        <v>5880.7243334969316</v>
      </c>
      <c r="D114" s="1550">
        <f>'Input data'!D134</f>
        <v>40488564.369250603</v>
      </c>
      <c r="E114" s="1455">
        <f t="shared" si="89"/>
        <v>1</v>
      </c>
      <c r="F114" s="1449">
        <f t="shared" si="89"/>
        <v>0.37</v>
      </c>
      <c r="G114" s="1554">
        <f>B114*F114*'Input data'!$C$9</f>
        <v>772.75409695478163</v>
      </c>
      <c r="H114" s="1542">
        <f>'Input data'!I134</f>
        <v>424.26313389388866</v>
      </c>
      <c r="I114" s="1509">
        <f>'Input data'!K134</f>
        <v>28950.284833289355</v>
      </c>
      <c r="J114" s="1509">
        <f t="shared" ref="J114:J130" si="91">J113</f>
        <v>2228.8062963921584</v>
      </c>
      <c r="K114" s="1511">
        <f t="shared" si="77"/>
        <v>11224.925143684375</v>
      </c>
      <c r="L114" s="1504">
        <f t="shared" si="90"/>
        <v>0.7</v>
      </c>
      <c r="M114" s="1504">
        <f t="shared" si="88"/>
        <v>0.6</v>
      </c>
      <c r="N114" s="1504">
        <f t="shared" si="88"/>
        <v>0.9</v>
      </c>
      <c r="O114" s="1504">
        <f t="shared" si="88"/>
        <v>0.9</v>
      </c>
      <c r="P114" s="1504">
        <f t="shared" si="88"/>
        <v>0.23600000000000002</v>
      </c>
      <c r="Q114" s="1508">
        <f t="shared" si="33"/>
        <v>309.98149945140312</v>
      </c>
      <c r="R114" s="1509">
        <f t="shared" si="34"/>
        <v>216.31472470698566</v>
      </c>
      <c r="S114" s="1509">
        <f t="shared" si="35"/>
        <v>633.45909610834542</v>
      </c>
      <c r="T114" s="1509">
        <f t="shared" si="36"/>
        <v>426.5317004883982</v>
      </c>
      <c r="U114" s="1511">
        <f t="shared" si="37"/>
        <v>0</v>
      </c>
      <c r="V114" s="1509">
        <f t="shared" si="38"/>
        <v>1586.2870207551323</v>
      </c>
      <c r="W114" s="1454">
        <f t="shared" si="87"/>
        <v>0.5</v>
      </c>
      <c r="X114" s="530">
        <f t="shared" si="39"/>
        <v>3033.4854703020706</v>
      </c>
      <c r="Y114" s="1508">
        <f t="shared" si="78"/>
        <v>4619.7724910572033</v>
      </c>
      <c r="Z114" s="1509">
        <f t="shared" si="79"/>
        <v>8833.9589490193302</v>
      </c>
      <c r="AA114" s="1511">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90.469837048480642</v>
      </c>
      <c r="BW114" s="114">
        <f t="shared" si="63"/>
        <v>0.70684212790468459</v>
      </c>
      <c r="BX114" s="1686">
        <f t="shared" si="24"/>
        <v>40.488564369250604</v>
      </c>
      <c r="BY114" s="527">
        <f t="shared" si="64"/>
        <v>90.469837048480642</v>
      </c>
      <c r="BZ114" s="417">
        <f t="shared" si="65"/>
        <v>0.70684212790468459</v>
      </c>
      <c r="CA114" s="544">
        <f t="shared" si="25"/>
        <v>40.488564369250604</v>
      </c>
      <c r="CB114" s="649">
        <f t="shared" si="26"/>
        <v>0.34108865163413971</v>
      </c>
      <c r="CC114" s="525">
        <f t="shared" si="66"/>
        <v>0.35819600168190047</v>
      </c>
      <c r="CD114" s="417">
        <f t="shared" si="27"/>
        <v>0.34108865163413971</v>
      </c>
      <c r="CE114" s="525">
        <f t="shared" si="67"/>
        <v>0.35819600168190047</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1">
        <f>'Input data'!B135</f>
        <v>68.818976000000006</v>
      </c>
      <c r="C115" s="1550">
        <f>'Input data'!C135</f>
        <v>6030.7021264561972</v>
      </c>
      <c r="D115" s="1550">
        <f>'Input data'!D135</f>
        <v>31941700.142198853</v>
      </c>
      <c r="E115" s="1455">
        <f t="shared" si="89"/>
        <v>1</v>
      </c>
      <c r="F115" s="1449">
        <f t="shared" si="89"/>
        <v>0.37</v>
      </c>
      <c r="G115" s="1554">
        <f>B115*F115*'Input data'!$C$9</f>
        <v>779.34899035624392</v>
      </c>
      <c r="H115" s="1542">
        <f>'Input data'!I135</f>
        <v>424.26313389388866</v>
      </c>
      <c r="I115" s="1509">
        <f>'Input data'!K135</f>
        <v>29197.354429128314</v>
      </c>
      <c r="J115" s="1509">
        <f t="shared" si="91"/>
        <v>2228.8062963921584</v>
      </c>
      <c r="K115" s="1511">
        <f t="shared" si="77"/>
        <v>11339.742942837889</v>
      </c>
      <c r="L115" s="1504">
        <f t="shared" si="90"/>
        <v>0.7</v>
      </c>
      <c r="M115" s="1504">
        <f t="shared" si="88"/>
        <v>0.6</v>
      </c>
      <c r="N115" s="1504">
        <f t="shared" si="88"/>
        <v>0.9</v>
      </c>
      <c r="O115" s="1504">
        <f t="shared" si="88"/>
        <v>0.9</v>
      </c>
      <c r="P115" s="1504">
        <f t="shared" si="88"/>
        <v>0.23600000000000002</v>
      </c>
      <c r="Q115" s="1508">
        <f t="shared" si="33"/>
        <v>312.62696578197756</v>
      </c>
      <c r="R115" s="1509">
        <f t="shared" si="34"/>
        <v>218.16081333496061</v>
      </c>
      <c r="S115" s="1509">
        <f t="shared" si="35"/>
        <v>638.86520812960043</v>
      </c>
      <c r="T115" s="1509">
        <f t="shared" si="36"/>
        <v>430.17183789841056</v>
      </c>
      <c r="U115" s="1511">
        <f t="shared" si="37"/>
        <v>0</v>
      </c>
      <c r="V115" s="1509">
        <f t="shared" si="38"/>
        <v>1599.824825144949</v>
      </c>
      <c r="W115" s="1454">
        <f t="shared" si="87"/>
        <v>0.5</v>
      </c>
      <c r="X115" s="530">
        <f t="shared" si="39"/>
        <v>3033.4854703020706</v>
      </c>
      <c r="Y115" s="1508">
        <f t="shared" si="78"/>
        <v>4633.3102954470196</v>
      </c>
      <c r="Z115" s="1509">
        <f t="shared" si="79"/>
        <v>8935.2389437830279</v>
      </c>
      <c r="AA115" s="1511">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82.770683428408063</v>
      </c>
      <c r="BW115" s="114">
        <f t="shared" si="63"/>
        <v>0.74152893880336357</v>
      </c>
      <c r="BX115" s="1686">
        <f t="shared" si="24"/>
        <v>31.941700142198854</v>
      </c>
      <c r="BY115" s="527">
        <f t="shared" si="64"/>
        <v>82.770683428408063</v>
      </c>
      <c r="BZ115" s="417">
        <f t="shared" si="65"/>
        <v>0.74152893880336357</v>
      </c>
      <c r="CA115" s="544">
        <f t="shared" si="25"/>
        <v>31.941700142198854</v>
      </c>
      <c r="CB115" s="649">
        <f t="shared" si="26"/>
        <v>0.34396919974586804</v>
      </c>
      <c r="CC115" s="525">
        <f t="shared" si="66"/>
        <v>0.39121596804274272</v>
      </c>
      <c r="CD115" s="417">
        <f t="shared" si="27"/>
        <v>0.34396919974586804</v>
      </c>
      <c r="CE115" s="525">
        <f t="shared" si="67"/>
        <v>0.39121596804274272</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1">
        <f>'Input data'!B136</f>
        <v>69.322810489383542</v>
      </c>
      <c r="C116" s="1550">
        <f>'Input data'!C136</f>
        <v>6175.9287194301432</v>
      </c>
      <c r="D116" s="1550">
        <f>'Input data'!D136</f>
        <v>22500187.169642892</v>
      </c>
      <c r="E116" s="1455">
        <f t="shared" si="89"/>
        <v>1</v>
      </c>
      <c r="F116" s="1449">
        <f t="shared" si="89"/>
        <v>0.37</v>
      </c>
      <c r="G116" s="1554">
        <f>B116*F116*'Input data'!$C$9</f>
        <v>785.05472623652952</v>
      </c>
      <c r="H116" s="1542">
        <f>'Input data'!I136</f>
        <v>424.26313389388866</v>
      </c>
      <c r="I116" s="1509">
        <f>'Input data'!K136</f>
        <v>29411.112828557998</v>
      </c>
      <c r="J116" s="1509">
        <f t="shared" si="91"/>
        <v>2228.8062963921584</v>
      </c>
      <c r="K116" s="1511">
        <f t="shared" si="77"/>
        <v>11439.080414491387</v>
      </c>
      <c r="L116" s="1504">
        <f t="shared" si="90"/>
        <v>0.7</v>
      </c>
      <c r="M116" s="1504">
        <f t="shared" si="88"/>
        <v>0.6</v>
      </c>
      <c r="N116" s="1504">
        <f t="shared" si="88"/>
        <v>0.9</v>
      </c>
      <c r="O116" s="1504">
        <f t="shared" si="88"/>
        <v>0.9</v>
      </c>
      <c r="P116" s="1504">
        <f t="shared" si="88"/>
        <v>0.23600000000000002</v>
      </c>
      <c r="Q116" s="1508">
        <f t="shared" si="33"/>
        <v>314.91575670604311</v>
      </c>
      <c r="R116" s="1509">
        <f t="shared" si="34"/>
        <v>219.75800277861231</v>
      </c>
      <c r="S116" s="1509">
        <f t="shared" si="35"/>
        <v>643.54244026282595</v>
      </c>
      <c r="T116" s="1509">
        <f t="shared" si="36"/>
        <v>433.32119322004019</v>
      </c>
      <c r="U116" s="1511">
        <f t="shared" si="37"/>
        <v>0</v>
      </c>
      <c r="V116" s="1509">
        <f t="shared" si="38"/>
        <v>1611.5373929675216</v>
      </c>
      <c r="W116" s="1454">
        <f t="shared" si="87"/>
        <v>0.5</v>
      </c>
      <c r="X116" s="530">
        <f t="shared" si="39"/>
        <v>3033.4854703020706</v>
      </c>
      <c r="Y116" s="1508">
        <f t="shared" si="78"/>
        <v>4645.0228632695926</v>
      </c>
      <c r="Z116" s="1509">
        <f t="shared" si="79"/>
        <v>9022.8638476139531</v>
      </c>
      <c r="AA116" s="1511">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74.329785258024017</v>
      </c>
      <c r="BW116" s="114">
        <f t="shared" si="63"/>
        <v>0.78586312457835339</v>
      </c>
      <c r="BX116" s="1686">
        <f t="shared" si="24"/>
        <v>22.500187169642892</v>
      </c>
      <c r="BY116" s="527">
        <f t="shared" si="64"/>
        <v>74.329785258024017</v>
      </c>
      <c r="BZ116" s="417">
        <f t="shared" si="65"/>
        <v>0.78586312457835339</v>
      </c>
      <c r="CA116" s="544">
        <f t="shared" si="25"/>
        <v>22.500187169642892</v>
      </c>
      <c r="CB116" s="649">
        <f t="shared" si="26"/>
        <v>0.34642074566368197</v>
      </c>
      <c r="CC116" s="525">
        <f t="shared" si="66"/>
        <v>0.43072783169761708</v>
      </c>
      <c r="CD116" s="417">
        <f t="shared" si="27"/>
        <v>0.34642074566368197</v>
      </c>
      <c r="CE116" s="525">
        <f t="shared" si="67"/>
        <v>0.43072783169761708</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1">
        <f>'Input data'!B137</f>
        <v>69.830333629884052</v>
      </c>
      <c r="C117" s="1550">
        <f>'Input data'!C137</f>
        <v>6338.2033947034479</v>
      </c>
      <c r="D117" s="1550">
        <f>'Input data'!D137</f>
        <v>17781297.212015409</v>
      </c>
      <c r="E117" s="1455">
        <f t="shared" si="89"/>
        <v>1</v>
      </c>
      <c r="F117" s="1449">
        <f t="shared" si="89"/>
        <v>0.37</v>
      </c>
      <c r="G117" s="1554">
        <f>B117*F117*'Input data'!$C$9</f>
        <v>790.80223470180374</v>
      </c>
      <c r="H117" s="1542">
        <f>'Input data'!I137</f>
        <v>424.26313389388866</v>
      </c>
      <c r="I117" s="1509">
        <f>'Input data'!K137</f>
        <v>29626.436186670413</v>
      </c>
      <c r="J117" s="1509">
        <f t="shared" si="91"/>
        <v>2228.8062963921584</v>
      </c>
      <c r="K117" s="1511">
        <f t="shared" si="77"/>
        <v>11539.145151315281</v>
      </c>
      <c r="L117" s="1504">
        <f t="shared" si="90"/>
        <v>0.7</v>
      </c>
      <c r="M117" s="1504">
        <f t="shared" si="88"/>
        <v>0.6</v>
      </c>
      <c r="N117" s="1504">
        <f t="shared" si="88"/>
        <v>0.9</v>
      </c>
      <c r="O117" s="1504">
        <f t="shared" si="88"/>
        <v>0.9</v>
      </c>
      <c r="P117" s="1504">
        <f>P116</f>
        <v>0.23600000000000002</v>
      </c>
      <c r="Q117" s="1508">
        <f t="shared" si="33"/>
        <v>317.2213042265239</v>
      </c>
      <c r="R117" s="1509">
        <f t="shared" si="34"/>
        <v>221.36688549604628</v>
      </c>
      <c r="S117" s="1509">
        <f t="shared" si="35"/>
        <v>648.25391514420789</v>
      </c>
      <c r="T117" s="1509">
        <f t="shared" si="36"/>
        <v>436.49360546466687</v>
      </c>
      <c r="U117" s="1511">
        <f t="shared" si="37"/>
        <v>0</v>
      </c>
      <c r="V117" s="1509">
        <f t="shared" si="38"/>
        <v>1623.3357103314449</v>
      </c>
      <c r="W117" s="1454">
        <f t="shared" si="87"/>
        <v>0.5</v>
      </c>
      <c r="X117" s="530">
        <f t="shared" si="39"/>
        <v>3033.4854703020706</v>
      </c>
      <c r="Y117" s="1508">
        <f t="shared" si="78"/>
        <v>4656.8211806335157</v>
      </c>
      <c r="Z117" s="1509">
        <f t="shared" si="79"/>
        <v>9111.1302670739242</v>
      </c>
      <c r="AA117" s="1511">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73.342970665209208</v>
      </c>
      <c r="BW117" s="114">
        <f t="shared" si="63"/>
        <v>0.78298195694075601</v>
      </c>
      <c r="BX117" s="1686">
        <f t="shared" si="24"/>
        <v>17.78129721201541</v>
      </c>
      <c r="BY117" s="527">
        <f t="shared" si="64"/>
        <v>73.342970665209208</v>
      </c>
      <c r="BZ117" s="417">
        <f t="shared" si="65"/>
        <v>0.78298195694075601</v>
      </c>
      <c r="CA117" s="544">
        <f t="shared" si="25"/>
        <v>17.78129721201541</v>
      </c>
      <c r="CB117" s="649">
        <f t="shared" si="26"/>
        <v>0.34885304461912336</v>
      </c>
      <c r="CC117" s="525">
        <f t="shared" si="66"/>
        <v>0.42520403923452976</v>
      </c>
      <c r="CD117" s="417">
        <f t="shared" si="27"/>
        <v>0.34885304461912336</v>
      </c>
      <c r="CE117" s="525">
        <f t="shared" si="67"/>
        <v>0.42520403923452976</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1">
        <f>'Input data'!B138</f>
        <v>70.341572426693446</v>
      </c>
      <c r="C118" s="1550">
        <f>'Input data'!C138</f>
        <v>6499.2753713641341</v>
      </c>
      <c r="D118" s="1550">
        <f>'Input data'!D138</f>
        <v>14837853.800490763</v>
      </c>
      <c r="E118" s="1455">
        <f t="shared" si="89"/>
        <v>1</v>
      </c>
      <c r="F118" s="1449">
        <f t="shared" si="89"/>
        <v>0.37</v>
      </c>
      <c r="G118" s="1554">
        <f>B118*F118*'Input data'!$C$9</f>
        <v>796.5918215756966</v>
      </c>
      <c r="H118" s="1542">
        <f>'Input data'!I138</f>
        <v>424.26313389388866</v>
      </c>
      <c r="I118" s="1509">
        <f>'Input data'!K138</f>
        <v>29843.335960772907</v>
      </c>
      <c r="J118" s="1509">
        <f t="shared" si="91"/>
        <v>2228.8062963921584</v>
      </c>
      <c r="K118" s="1511">
        <f t="shared" si="77"/>
        <v>11639.94247773166</v>
      </c>
      <c r="L118" s="1504">
        <f t="shared" si="90"/>
        <v>0.7</v>
      </c>
      <c r="M118" s="1504">
        <f t="shared" si="88"/>
        <v>0.6</v>
      </c>
      <c r="N118" s="1504">
        <f t="shared" si="88"/>
        <v>0.9</v>
      </c>
      <c r="O118" s="1504">
        <f t="shared" si="88"/>
        <v>0.9</v>
      </c>
      <c r="P118" s="1504">
        <f t="shared" si="88"/>
        <v>0.23600000000000002</v>
      </c>
      <c r="Q118" s="1508">
        <f t="shared" si="33"/>
        <v>319.54373102108343</v>
      </c>
      <c r="R118" s="1509">
        <f t="shared" si="34"/>
        <v>222.9875470955493</v>
      </c>
      <c r="S118" s="1509">
        <f t="shared" si="35"/>
        <v>652.99988347026374</v>
      </c>
      <c r="T118" s="1509">
        <f t="shared" si="36"/>
        <v>439.68924343563094</v>
      </c>
      <c r="U118" s="1511">
        <f t="shared" si="37"/>
        <v>0</v>
      </c>
      <c r="V118" s="1509">
        <f t="shared" si="38"/>
        <v>1635.2204050225273</v>
      </c>
      <c r="W118" s="1454">
        <f t="shared" si="87"/>
        <v>0.5</v>
      </c>
      <c r="X118" s="530">
        <f t="shared" si="39"/>
        <v>3033.4854703020706</v>
      </c>
      <c r="Y118" s="1508">
        <f t="shared" si="78"/>
        <v>4668.7058753245983</v>
      </c>
      <c r="Z118" s="1509">
        <f t="shared" si="79"/>
        <v>9200.04289879922</v>
      </c>
      <c r="AA118" s="1511">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73.060712275477712</v>
      </c>
      <c r="BW118" s="114">
        <f t="shared" si="63"/>
        <v>0.78214354240209638</v>
      </c>
      <c r="BX118" s="1686">
        <f t="shared" si="24"/>
        <v>14.837853800490763</v>
      </c>
      <c r="BY118" s="527">
        <f t="shared" si="64"/>
        <v>73.060712275477712</v>
      </c>
      <c r="BZ118" s="417">
        <f t="shared" si="65"/>
        <v>0.78214354240209638</v>
      </c>
      <c r="CA118" s="544">
        <f t="shared" si="25"/>
        <v>14.837853800490763</v>
      </c>
      <c r="CB118" s="649">
        <f t="shared" si="26"/>
        <v>0.35126626747362921</v>
      </c>
      <c r="CC118" s="525">
        <f t="shared" si="66"/>
        <v>0.42276904897106915</v>
      </c>
      <c r="CD118" s="417">
        <f t="shared" si="27"/>
        <v>0.35126626747362921</v>
      </c>
      <c r="CE118" s="525">
        <f t="shared" si="67"/>
        <v>0.42276904897106915</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1">
        <f>'Input data'!B139</f>
        <v>70.856554082712819</v>
      </c>
      <c r="C119" s="1550">
        <f>'Input data'!C139</f>
        <v>6668.6889746882025</v>
      </c>
      <c r="D119" s="1550">
        <f>'Input data'!D139</f>
        <v>11894410.388966125</v>
      </c>
      <c r="E119" s="1455">
        <f t="shared" si="89"/>
        <v>1</v>
      </c>
      <c r="F119" s="1449">
        <f t="shared" si="89"/>
        <v>0.37</v>
      </c>
      <c r="G119" s="1554">
        <f>B119*F119*'Input data'!$C$9</f>
        <v>802.42379492081989</v>
      </c>
      <c r="H119" s="1542">
        <f>'Input data'!I139</f>
        <v>424.26313389388866</v>
      </c>
      <c r="I119" s="1509">
        <f>'Input data'!K139</f>
        <v>30061.823692053553</v>
      </c>
      <c r="J119" s="1509">
        <f t="shared" si="91"/>
        <v>2228.8062963921584</v>
      </c>
      <c r="K119" s="1511">
        <f t="shared" si="77"/>
        <v>11741.477757143535</v>
      </c>
      <c r="L119" s="1504">
        <f t="shared" si="90"/>
        <v>0.7</v>
      </c>
      <c r="M119" s="1504">
        <f t="shared" si="88"/>
        <v>0.6</v>
      </c>
      <c r="N119" s="1504">
        <f t="shared" si="88"/>
        <v>0.9</v>
      </c>
      <c r="O119" s="1504">
        <f t="shared" si="88"/>
        <v>0.9</v>
      </c>
      <c r="P119" s="1504">
        <f t="shared" si="88"/>
        <v>0.23600000000000002</v>
      </c>
      <c r="Q119" s="1508">
        <f t="shared" si="33"/>
        <v>321.88316066552784</v>
      </c>
      <c r="R119" s="1509">
        <f t="shared" si="34"/>
        <v>224.62007381215983</v>
      </c>
      <c r="S119" s="1509">
        <f t="shared" si="35"/>
        <v>657.78059777289627</v>
      </c>
      <c r="T119" s="1509">
        <f t="shared" si="36"/>
        <v>442.90827717210823</v>
      </c>
      <c r="U119" s="1511">
        <f t="shared" si="37"/>
        <v>0</v>
      </c>
      <c r="V119" s="1509">
        <f t="shared" si="38"/>
        <v>1647.1921094226923</v>
      </c>
      <c r="W119" s="1454">
        <f t="shared" si="87"/>
        <v>0.5</v>
      </c>
      <c r="X119" s="530">
        <f t="shared" si="39"/>
        <v>3033.4854703020706</v>
      </c>
      <c r="Y119" s="1508">
        <f t="shared" si="78"/>
        <v>4680.6775797247628</v>
      </c>
      <c r="Z119" s="1509">
        <f t="shared" si="79"/>
        <v>9289.6064738109308</v>
      </c>
      <c r="AA119" s="1511">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72.821773820790554</v>
      </c>
      <c r="BW119" s="114">
        <f t="shared" si="63"/>
        <v>0.78142872480578029</v>
      </c>
      <c r="BX119" s="1686">
        <f t="shared" si="24"/>
        <v>11.894410388966124</v>
      </c>
      <c r="BY119" s="527">
        <f t="shared" si="64"/>
        <v>72.821773820790554</v>
      </c>
      <c r="BZ119" s="417">
        <f t="shared" si="65"/>
        <v>0.78142872480578029</v>
      </c>
      <c r="CA119" s="544">
        <f t="shared" si="25"/>
        <v>11.894410388966124</v>
      </c>
      <c r="CB119" s="649">
        <f t="shared" si="26"/>
        <v>0.35366058307858594</v>
      </c>
      <c r="CC119" s="525">
        <f t="shared" si="66"/>
        <v>0.42044808956748159</v>
      </c>
      <c r="CD119" s="417">
        <f t="shared" si="27"/>
        <v>0.35366058307858594</v>
      </c>
      <c r="CE119" s="525">
        <f t="shared" si="67"/>
        <v>0.42044808956748159</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1">
        <f>'Input data'!B140</f>
        <v>71.375305999999995</v>
      </c>
      <c r="C120" s="1550">
        <f>'Input data'!C140</f>
        <v>6840.2471934556306</v>
      </c>
      <c r="D120" s="1550">
        <f>'Input data'!D140</f>
        <v>8950966.9774414804</v>
      </c>
      <c r="E120" s="1455">
        <f t="shared" si="89"/>
        <v>1</v>
      </c>
      <c r="F120" s="1449">
        <f t="shared" si="89"/>
        <v>0.37</v>
      </c>
      <c r="G120" s="1554">
        <f>B120*F120*'Input data'!$C$9</f>
        <v>808.29846505516082</v>
      </c>
      <c r="H120" s="1542">
        <f>'Input data'!I140</f>
        <v>424.26313389388866</v>
      </c>
      <c r="I120" s="1509">
        <f>'Input data'!K140</f>
        <v>30281.911006195274</v>
      </c>
      <c r="J120" s="1509">
        <f t="shared" si="91"/>
        <v>2228.8062963921584</v>
      </c>
      <c r="K120" s="1511">
        <f t="shared" si="77"/>
        <v>11843.756392220233</v>
      </c>
      <c r="L120" s="1504">
        <f t="shared" si="90"/>
        <v>0.7</v>
      </c>
      <c r="M120" s="1504">
        <f t="shared" si="88"/>
        <v>0.6</v>
      </c>
      <c r="N120" s="1504">
        <f t="shared" si="88"/>
        <v>0.9</v>
      </c>
      <c r="O120" s="1504">
        <f t="shared" si="88"/>
        <v>0.9</v>
      </c>
      <c r="P120" s="1504">
        <f t="shared" si="88"/>
        <v>0.23600000000000002</v>
      </c>
      <c r="Q120" s="1508">
        <f t="shared" si="33"/>
        <v>324.23971764038129</v>
      </c>
      <c r="R120" s="1509">
        <f t="shared" si="34"/>
        <v>226.26455251225605</v>
      </c>
      <c r="S120" s="1509">
        <f t="shared" si="35"/>
        <v>662.59631243283729</v>
      </c>
      <c r="T120" s="1509">
        <f t="shared" si="36"/>
        <v>446.15087795815862</v>
      </c>
      <c r="U120" s="1511">
        <f t="shared" si="37"/>
        <v>0</v>
      </c>
      <c r="V120" s="1509">
        <f t="shared" si="38"/>
        <v>1659.2514605436331</v>
      </c>
      <c r="W120" s="1454">
        <f t="shared" si="87"/>
        <v>0.5</v>
      </c>
      <c r="X120" s="530">
        <f t="shared" si="39"/>
        <v>3033.4854703020706</v>
      </c>
      <c r="Y120" s="1508">
        <f t="shared" si="78"/>
        <v>4692.7369308457037</v>
      </c>
      <c r="Z120" s="1509">
        <f t="shared" si="79"/>
        <v>9379.8257577666882</v>
      </c>
      <c r="AA120" s="1511">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72.59438326106077</v>
      </c>
      <c r="BW120" s="114">
        <f t="shared" si="63"/>
        <v>0.78074408444691767</v>
      </c>
      <c r="BX120" s="1686">
        <f t="shared" si="24"/>
        <v>8.95096697744148</v>
      </c>
      <c r="BY120" s="527">
        <f t="shared" si="64"/>
        <v>72.59438326106077</v>
      </c>
      <c r="BZ120" s="417">
        <f t="shared" si="65"/>
        <v>0.78074408444691767</v>
      </c>
      <c r="CA120" s="544">
        <f t="shared" si="25"/>
        <v>8.95096697744148</v>
      </c>
      <c r="CB120" s="649">
        <f t="shared" si="26"/>
        <v>0.3560361583119136</v>
      </c>
      <c r="CC120" s="525">
        <f t="shared" si="66"/>
        <v>0.41812510147014614</v>
      </c>
      <c r="CD120" s="417">
        <f t="shared" si="27"/>
        <v>0.3560361583119136</v>
      </c>
      <c r="CE120" s="525">
        <f t="shared" si="67"/>
        <v>0.41812510147014614</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1">
        <f>'Input data'!B141</f>
        <v>71.818612994947316</v>
      </c>
      <c r="C121" s="1550">
        <f>'Input data'!C141</f>
        <v>7028.9784058300729</v>
      </c>
      <c r="D121" s="1550">
        <f>'Input data'!D141</f>
        <v>7408427.529416549</v>
      </c>
      <c r="E121" s="1455">
        <f t="shared" si="89"/>
        <v>1</v>
      </c>
      <c r="F121" s="1449">
        <f t="shared" si="89"/>
        <v>0.37</v>
      </c>
      <c r="G121" s="1554">
        <f>B121*F121*'Input data'!$C$9</f>
        <v>813.31874985175614</v>
      </c>
      <c r="H121" s="1542">
        <f>'Input data'!I141</f>
        <v>424.26313389388866</v>
      </c>
      <c r="I121" s="1509">
        <f>'Input data'!K141</f>
        <v>30469.989821148705</v>
      </c>
      <c r="J121" s="1509">
        <f t="shared" si="91"/>
        <v>2228.8062963921584</v>
      </c>
      <c r="K121" s="1511">
        <f t="shared" si="77"/>
        <v>11931.16008722781</v>
      </c>
      <c r="L121" s="1504">
        <f t="shared" si="90"/>
        <v>0.7</v>
      </c>
      <c r="M121" s="1504">
        <f t="shared" si="88"/>
        <v>0.6</v>
      </c>
      <c r="N121" s="1504">
        <f t="shared" si="88"/>
        <v>0.9</v>
      </c>
      <c r="O121" s="1504">
        <f t="shared" si="88"/>
        <v>0.9</v>
      </c>
      <c r="P121" s="1504">
        <f t="shared" si="88"/>
        <v>0.23600000000000002</v>
      </c>
      <c r="Q121" s="1508">
        <f t="shared" si="33"/>
        <v>326.25354767383487</v>
      </c>
      <c r="R121" s="1509">
        <f t="shared" si="34"/>
        <v>227.6698657005079</v>
      </c>
      <c r="S121" s="1509">
        <f t="shared" si="35"/>
        <v>666.71165142876043</v>
      </c>
      <c r="T121" s="1509">
        <f t="shared" si="36"/>
        <v>448.92188961589818</v>
      </c>
      <c r="U121" s="1511">
        <f t="shared" si="37"/>
        <v>0</v>
      </c>
      <c r="V121" s="1509">
        <f t="shared" si="38"/>
        <v>1669.5569544190014</v>
      </c>
      <c r="W121" s="1454">
        <f t="shared" si="87"/>
        <v>0.5</v>
      </c>
      <c r="X121" s="530">
        <f t="shared" si="39"/>
        <v>3033.4854703020706</v>
      </c>
      <c r="Y121" s="1508">
        <f t="shared" si="78"/>
        <v>4703.0424247210722</v>
      </c>
      <c r="Z121" s="1509">
        <f t="shared" si="79"/>
        <v>9456.9239588988967</v>
      </c>
      <c r="AA121" s="1511">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73.005214793773106</v>
      </c>
      <c r="BW121" s="114">
        <f t="shared" si="63"/>
        <v>0.78197793115358616</v>
      </c>
      <c r="BX121" s="1686">
        <f t="shared" si="24"/>
        <v>7.4084275294165494</v>
      </c>
      <c r="BY121" s="527">
        <f t="shared" si="64"/>
        <v>73.005214793773106</v>
      </c>
      <c r="BZ121" s="417">
        <f t="shared" si="65"/>
        <v>0.78197793115358616</v>
      </c>
      <c r="CA121" s="544">
        <f t="shared" si="25"/>
        <v>7.4084275294165494</v>
      </c>
      <c r="CB121" s="649">
        <f t="shared" si="26"/>
        <v>0.35803801704304605</v>
      </c>
      <c r="CC121" s="525">
        <f t="shared" si="66"/>
        <v>0.41891823152976793</v>
      </c>
      <c r="CD121" s="417">
        <f t="shared" si="27"/>
        <v>0.35803801704304605</v>
      </c>
      <c r="CE121" s="525">
        <f t="shared" si="67"/>
        <v>0.41891823152976793</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1">
        <f>'Input data'!B142</f>
        <v>72.264673338395411</v>
      </c>
      <c r="C122" s="1550">
        <f>'Input data'!C142</f>
        <v>7212.2527913428794</v>
      </c>
      <c r="D122" s="1550">
        <f>'Input data'!D142</f>
        <v>5865888.0813916186</v>
      </c>
      <c r="E122" s="1455">
        <f t="shared" si="89"/>
        <v>1</v>
      </c>
      <c r="F122" s="1449">
        <f t="shared" si="89"/>
        <v>0.37</v>
      </c>
      <c r="G122" s="1554">
        <f>B122*F122*'Input data'!$C$9</f>
        <v>818.37021528338698</v>
      </c>
      <c r="H122" s="1542">
        <f>'Input data'!I142</f>
        <v>424.26313389388866</v>
      </c>
      <c r="I122" s="1509">
        <f>'Input data'!K142</f>
        <v>30659.23678036578</v>
      </c>
      <c r="J122" s="1509">
        <f t="shared" si="91"/>
        <v>2228.8062963921584</v>
      </c>
      <c r="K122" s="1511">
        <f t="shared" si="77"/>
        <v>12019.106640424758</v>
      </c>
      <c r="L122" s="1504">
        <f t="shared" si="90"/>
        <v>0.7</v>
      </c>
      <c r="M122" s="1504">
        <f t="shared" si="88"/>
        <v>0.6</v>
      </c>
      <c r="N122" s="1504">
        <f t="shared" si="88"/>
        <v>0.9</v>
      </c>
      <c r="O122" s="1504">
        <f t="shared" si="88"/>
        <v>0.9</v>
      </c>
      <c r="P122" s="1504">
        <f t="shared" si="88"/>
        <v>0.23600000000000002</v>
      </c>
      <c r="Q122" s="1508">
        <f t="shared" si="33"/>
        <v>328.27988546368874</v>
      </c>
      <c r="R122" s="1509">
        <f t="shared" si="34"/>
        <v>229.08390718992371</v>
      </c>
      <c r="S122" s="1509">
        <f t="shared" si="35"/>
        <v>670.85255050513342</v>
      </c>
      <c r="T122" s="1509">
        <f t="shared" si="36"/>
        <v>451.7101118317396</v>
      </c>
      <c r="U122" s="1511">
        <f t="shared" si="37"/>
        <v>0</v>
      </c>
      <c r="V122" s="1509">
        <f t="shared" si="38"/>
        <v>1679.9264549904856</v>
      </c>
      <c r="W122" s="1454">
        <f t="shared" si="87"/>
        <v>0.5</v>
      </c>
      <c r="X122" s="530">
        <f t="shared" si="39"/>
        <v>3033.4854703020706</v>
      </c>
      <c r="Y122" s="1508">
        <f t="shared" si="78"/>
        <v>4713.4119252925557</v>
      </c>
      <c r="Z122" s="1509">
        <f t="shared" si="79"/>
        <v>9534.5010115243604</v>
      </c>
      <c r="AA122" s="1511">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73.38846801673013</v>
      </c>
      <c r="BW122" s="114">
        <f t="shared" si="63"/>
        <v>0.78311649778154868</v>
      </c>
      <c r="BX122" s="1686">
        <f t="shared" si="24"/>
        <v>5.8658880813916188</v>
      </c>
      <c r="BY122" s="527">
        <f t="shared" si="64"/>
        <v>73.38846801673013</v>
      </c>
      <c r="BZ122" s="417">
        <f t="shared" si="65"/>
        <v>0.78311649778154868</v>
      </c>
      <c r="CA122" s="544">
        <f t="shared" si="25"/>
        <v>5.8658880813916188</v>
      </c>
      <c r="CB122" s="649">
        <f t="shared" si="26"/>
        <v>0.36002659202487586</v>
      </c>
      <c r="CC122" s="525">
        <f t="shared" si="66"/>
        <v>0.41958968710050459</v>
      </c>
      <c r="CD122" s="417">
        <f t="shared" si="27"/>
        <v>0.36002659202487586</v>
      </c>
      <c r="CE122" s="525">
        <f t="shared" si="67"/>
        <v>0.41958968710050459</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1">
        <f>'Input data'!B143</f>
        <v>72.713504131197794</v>
      </c>
      <c r="C123" s="1550">
        <f>'Input data'!C143</f>
        <v>7399.5467373897327</v>
      </c>
      <c r="D123" s="1550">
        <f>'Input data'!D143</f>
        <v>4323348.6333666872</v>
      </c>
      <c r="E123" s="1455">
        <f t="shared" si="89"/>
        <v>1</v>
      </c>
      <c r="F123" s="1449">
        <f t="shared" si="89"/>
        <v>0.37</v>
      </c>
      <c r="G123" s="1554">
        <f>B123*F123*'Input data'!$C$9</f>
        <v>823.4530550107803</v>
      </c>
      <c r="H123" s="1542">
        <f>'Input data'!I143</f>
        <v>424.26313389388866</v>
      </c>
      <c r="I123" s="1509">
        <f>'Input data'!K143</f>
        <v>30849.659139108197</v>
      </c>
      <c r="J123" s="1509">
        <f t="shared" si="91"/>
        <v>2228.8062963921584</v>
      </c>
      <c r="K123" s="1511">
        <f t="shared" si="77"/>
        <v>12107.59942346503</v>
      </c>
      <c r="L123" s="1504">
        <f t="shared" si="90"/>
        <v>0.7</v>
      </c>
      <c r="M123" s="1504">
        <f t="shared" si="88"/>
        <v>0.6</v>
      </c>
      <c r="N123" s="1504">
        <f t="shared" si="88"/>
        <v>0.9</v>
      </c>
      <c r="O123" s="1504">
        <f t="shared" si="88"/>
        <v>0.9</v>
      </c>
      <c r="P123" s="1504">
        <f t="shared" si="88"/>
        <v>0.23600000000000002</v>
      </c>
      <c r="Q123" s="1508">
        <f t="shared" si="33"/>
        <v>330.31880869473662</v>
      </c>
      <c r="R123" s="1509">
        <f t="shared" si="34"/>
        <v>230.50673119136695</v>
      </c>
      <c r="S123" s="1509">
        <f t="shared" si="35"/>
        <v>675.01916841381399</v>
      </c>
      <c r="T123" s="1509">
        <f t="shared" si="36"/>
        <v>454.51565149924636</v>
      </c>
      <c r="U123" s="1511">
        <f t="shared" si="37"/>
        <v>0</v>
      </c>
      <c r="V123" s="1509">
        <f t="shared" si="38"/>
        <v>1690.3603597991639</v>
      </c>
      <c r="W123" s="1454">
        <f t="shared" si="87"/>
        <v>0.5</v>
      </c>
      <c r="X123" s="530">
        <f t="shared" si="39"/>
        <v>3033.4854703020706</v>
      </c>
      <c r="Y123" s="1508">
        <f t="shared" si="78"/>
        <v>4723.8458301012342</v>
      </c>
      <c r="Z123" s="1509">
        <f t="shared" si="79"/>
        <v>9612.5598897559539</v>
      </c>
      <c r="AA123" s="1511">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73.792735695201429</v>
      </c>
      <c r="BW123" s="114">
        <f t="shared" si="63"/>
        <v>0.78430467693108896</v>
      </c>
      <c r="BX123" s="1686">
        <f t="shared" si="24"/>
        <v>4.3233486333666873</v>
      </c>
      <c r="BY123" s="527">
        <f t="shared" si="64"/>
        <v>73.792735695201429</v>
      </c>
      <c r="BZ123" s="417">
        <f t="shared" si="65"/>
        <v>0.78430467693108896</v>
      </c>
      <c r="CA123" s="544">
        <f t="shared" si="25"/>
        <v>4.3233486333666873</v>
      </c>
      <c r="CB123" s="649">
        <f t="shared" si="26"/>
        <v>0.36200198208013235</v>
      </c>
      <c r="CC123" s="525">
        <f t="shared" si="66"/>
        <v>0.42033115844777702</v>
      </c>
      <c r="CD123" s="417">
        <f t="shared" si="27"/>
        <v>0.36200198208013235</v>
      </c>
      <c r="CE123" s="525">
        <f t="shared" si="67"/>
        <v>0.42033115844777702</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1">
        <f>'Input data'!B144</f>
        <v>73.165122580420132</v>
      </c>
      <c r="C124" s="1550">
        <f>'Input data'!C144</f>
        <v>7593.410855692503</v>
      </c>
      <c r="D124" s="1550">
        <f>'Input data'!D144</f>
        <v>2780809.1853417563</v>
      </c>
      <c r="E124" s="1455">
        <f t="shared" si="89"/>
        <v>1</v>
      </c>
      <c r="F124" s="1449">
        <f t="shared" si="89"/>
        <v>0.37</v>
      </c>
      <c r="G124" s="1554">
        <f>B124*F124*'Input data'!$C$9</f>
        <v>828.56746389747582</v>
      </c>
      <c r="H124" s="1542">
        <f>'Input data'!I144</f>
        <v>424.26313389388866</v>
      </c>
      <c r="I124" s="1509">
        <f>'Input data'!K144</f>
        <v>31041.264197699562</v>
      </c>
      <c r="J124" s="1509">
        <f t="shared" si="91"/>
        <v>2228.8062963921584</v>
      </c>
      <c r="K124" s="1511">
        <f t="shared" si="77"/>
        <v>12196.641828943688</v>
      </c>
      <c r="L124" s="1504">
        <f t="shared" si="90"/>
        <v>0.7</v>
      </c>
      <c r="M124" s="1504">
        <f t="shared" si="88"/>
        <v>0.6</v>
      </c>
      <c r="N124" s="1504">
        <f t="shared" si="88"/>
        <v>0.9</v>
      </c>
      <c r="O124" s="1504">
        <f t="shared" si="88"/>
        <v>0.9</v>
      </c>
      <c r="P124" s="1504">
        <f t="shared" si="88"/>
        <v>0.23600000000000002</v>
      </c>
      <c r="Q124" s="1508">
        <f t="shared" si="33"/>
        <v>332.37039553426666</v>
      </c>
      <c r="R124" s="1509">
        <f t="shared" si="34"/>
        <v>231.93839225240072</v>
      </c>
      <c r="S124" s="1509">
        <f t="shared" si="35"/>
        <v>679.21166489265715</v>
      </c>
      <c r="T124" s="1509">
        <f t="shared" si="36"/>
        <v>457.33861617588991</v>
      </c>
      <c r="U124" s="1511">
        <f t="shared" si="37"/>
        <v>0</v>
      </c>
      <c r="V124" s="1509">
        <f t="shared" si="38"/>
        <v>1700.8590688552144</v>
      </c>
      <c r="W124" s="1454">
        <f t="shared" si="87"/>
        <v>0.5</v>
      </c>
      <c r="X124" s="530">
        <f t="shared" si="39"/>
        <v>3033.4854703020706</v>
      </c>
      <c r="Y124" s="1508">
        <f t="shared" si="78"/>
        <v>4734.344539157285</v>
      </c>
      <c r="Z124" s="1509">
        <f t="shared" si="79"/>
        <v>9691.1035861785604</v>
      </c>
      <c r="AA124" s="1511">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74.231098380025031</v>
      </c>
      <c r="BW124" s="114">
        <f t="shared" si="63"/>
        <v>0.78557843931623272</v>
      </c>
      <c r="BX124" s="1686">
        <f t="shared" si="24"/>
        <v>2.7808091853417563</v>
      </c>
      <c r="BY124" s="527">
        <f t="shared" si="64"/>
        <v>74.231098380025031</v>
      </c>
      <c r="BZ124" s="417">
        <f t="shared" si="65"/>
        <v>0.78557843931623272</v>
      </c>
      <c r="CA124" s="544">
        <f t="shared" si="25"/>
        <v>2.7808091853417563</v>
      </c>
      <c r="CB124" s="649">
        <f t="shared" si="26"/>
        <v>0.36396428507300427</v>
      </c>
      <c r="CC124" s="525">
        <f t="shared" si="66"/>
        <v>0.42118968176281724</v>
      </c>
      <c r="CD124" s="417">
        <f t="shared" si="27"/>
        <v>0.36396428507300427</v>
      </c>
      <c r="CE124" s="525">
        <f t="shared" si="67"/>
        <v>0.42118968176281724</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1">
        <f>'Input data'!B145</f>
        <v>73.619545999999971</v>
      </c>
      <c r="C125" s="1550">
        <f>'Input data'!C145</f>
        <v>7794.8943128616638</v>
      </c>
      <c r="D125" s="1550">
        <f>'Input data'!D145</f>
        <v>1238269.7373168254</v>
      </c>
      <c r="E125" s="1455">
        <f t="shared" si="89"/>
        <v>1</v>
      </c>
      <c r="F125" s="1449">
        <f t="shared" si="89"/>
        <v>0.37</v>
      </c>
      <c r="G125" s="1554">
        <f>B125*F125*'Input data'!$C$9</f>
        <v>833.71363801729672</v>
      </c>
      <c r="H125" s="1542">
        <f>'Input data'!I145</f>
        <v>424.26313389388866</v>
      </c>
      <c r="I125" s="1509">
        <f>'Input data'!K145</f>
        <v>31234.059301805282</v>
      </c>
      <c r="J125" s="1509">
        <f t="shared" si="91"/>
        <v>2228.8062963921584</v>
      </c>
      <c r="K125" s="1511">
        <f t="shared" si="77"/>
        <v>12286.237270526955</v>
      </c>
      <c r="L125" s="1504">
        <f t="shared" si="90"/>
        <v>0.7</v>
      </c>
      <c r="M125" s="1504">
        <f t="shared" si="88"/>
        <v>0.6</v>
      </c>
      <c r="N125" s="1504">
        <f t="shared" si="88"/>
        <v>0.9</v>
      </c>
      <c r="O125" s="1504">
        <f t="shared" si="88"/>
        <v>0.9</v>
      </c>
      <c r="P125" s="1504">
        <f t="shared" si="88"/>
        <v>0.23600000000000002</v>
      </c>
      <c r="Q125" s="1508">
        <f t="shared" si="33"/>
        <v>334.43472463505896</v>
      </c>
      <c r="R125" s="1509">
        <f t="shared" si="34"/>
        <v>233.37894525937941</v>
      </c>
      <c r="S125" s="1509">
        <f t="shared" si="35"/>
        <v>683.43020067163843</v>
      </c>
      <c r="T125" s="1509">
        <f t="shared" si="36"/>
        <v>460.17911408717418</v>
      </c>
      <c r="U125" s="1511">
        <f t="shared" si="37"/>
        <v>0</v>
      </c>
      <c r="V125" s="1509">
        <f t="shared" si="38"/>
        <v>1711.422984653251</v>
      </c>
      <c r="W125" s="1454">
        <f t="shared" si="87"/>
        <v>0.5</v>
      </c>
      <c r="X125" s="530">
        <f t="shared" si="39"/>
        <v>3033.4854703020706</v>
      </c>
      <c r="Y125" s="1508">
        <f t="shared" si="78"/>
        <v>4744.9084549553218</v>
      </c>
      <c r="Z125" s="1509">
        <f t="shared" si="79"/>
        <v>9770.1351119637911</v>
      </c>
      <c r="AA125" s="1511">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74.708937912027238</v>
      </c>
      <c r="BW125" s="114">
        <f t="shared" si="63"/>
        <v>0.78694988296235924</v>
      </c>
      <c r="BX125" s="1686">
        <f t="shared" si="24"/>
        <v>1.2382697373168254</v>
      </c>
      <c r="BY125" s="527">
        <f t="shared" si="64"/>
        <v>74.708937912027238</v>
      </c>
      <c r="BZ125" s="417">
        <f t="shared" si="65"/>
        <v>0.78694988296235924</v>
      </c>
      <c r="CA125" s="544">
        <f t="shared" si="25"/>
        <v>1.2382697373168254</v>
      </c>
      <c r="CB125" s="649">
        <f t="shared" si="26"/>
        <v>0.36591359792336786</v>
      </c>
      <c r="CC125" s="525">
        <f t="shared" si="66"/>
        <v>0.42218033994103987</v>
      </c>
      <c r="CD125" s="417">
        <f t="shared" si="27"/>
        <v>0.36591359792336786</v>
      </c>
      <c r="CE125" s="525">
        <f t="shared" si="67"/>
        <v>0.42218033994103987</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1">
        <f>'Input data'!B146</f>
        <v>73.995362001779526</v>
      </c>
      <c r="C126" s="1550">
        <f>'Input data'!C146</f>
        <v>8018.9246673642956</v>
      </c>
      <c r="D126" s="1550">
        <f>'Input data'!D146</f>
        <v>1037510.1997812246</v>
      </c>
      <c r="E126" s="1455">
        <f t="shared" si="89"/>
        <v>1</v>
      </c>
      <c r="F126" s="1449">
        <f t="shared" si="89"/>
        <v>0.37</v>
      </c>
      <c r="G126" s="1554">
        <f>B126*F126*'Input data'!$C$9</f>
        <v>837.96961272907708</v>
      </c>
      <c r="H126" s="1542">
        <f>'Input data'!I146</f>
        <v>424.26313389388866</v>
      </c>
      <c r="I126" s="1509">
        <f>'Input data'!K146</f>
        <v>31393.50417648775</v>
      </c>
      <c r="J126" s="1509">
        <f t="shared" si="91"/>
        <v>2228.8062963921584</v>
      </c>
      <c r="K126" s="1511">
        <f t="shared" si="77"/>
        <v>12360.334245248529</v>
      </c>
      <c r="L126" s="1504">
        <f t="shared" si="90"/>
        <v>0.7</v>
      </c>
      <c r="M126" s="1504">
        <f t="shared" si="88"/>
        <v>0.6</v>
      </c>
      <c r="N126" s="1504">
        <f t="shared" si="88"/>
        <v>0.9</v>
      </c>
      <c r="O126" s="1504">
        <f t="shared" si="88"/>
        <v>0.9</v>
      </c>
      <c r="P126" s="1504">
        <f t="shared" si="88"/>
        <v>0.23600000000000002</v>
      </c>
      <c r="Q126" s="1508">
        <f t="shared" si="33"/>
        <v>336.14196038830005</v>
      </c>
      <c r="R126" s="1509">
        <f t="shared" si="34"/>
        <v>234.57030742978588</v>
      </c>
      <c r="S126" s="1509">
        <f t="shared" si="35"/>
        <v>686.91900248402408</v>
      </c>
      <c r="T126" s="1509">
        <f t="shared" si="36"/>
        <v>462.52825482703656</v>
      </c>
      <c r="U126" s="1511">
        <f t="shared" si="37"/>
        <v>0</v>
      </c>
      <c r="V126" s="1509">
        <f t="shared" si="38"/>
        <v>1720.1595251291465</v>
      </c>
      <c r="W126" s="1454">
        <f t="shared" si="87"/>
        <v>0.5</v>
      </c>
      <c r="X126" s="530">
        <f t="shared" si="39"/>
        <v>3033.4854703020706</v>
      </c>
      <c r="Y126" s="1508">
        <f t="shared" si="78"/>
        <v>4753.6449954312175</v>
      </c>
      <c r="Z126" s="1509">
        <f t="shared" si="79"/>
        <v>9835.4955462094695</v>
      </c>
      <c r="AA126" s="1511">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75.828440074505437</v>
      </c>
      <c r="BW126" s="114">
        <f t="shared" si="63"/>
        <v>0.79009527361665099</v>
      </c>
      <c r="BX126" s="1686">
        <f t="shared" si="24"/>
        <v>1.0375101997812246</v>
      </c>
      <c r="BY126" s="527">
        <f t="shared" si="64"/>
        <v>75.828440074505437</v>
      </c>
      <c r="BZ126" s="417">
        <f t="shared" si="65"/>
        <v>0.79009527361665099</v>
      </c>
      <c r="CA126" s="544">
        <f t="shared" si="25"/>
        <v>1.0375101997812246</v>
      </c>
      <c r="CB126" s="649">
        <f t="shared" si="26"/>
        <v>0.36750697834425616</v>
      </c>
      <c r="CC126" s="525">
        <f t="shared" si="66"/>
        <v>0.42600528096215839</v>
      </c>
      <c r="CD126" s="417">
        <f t="shared" si="27"/>
        <v>0.36750697834425616</v>
      </c>
      <c r="CE126" s="525">
        <f t="shared" si="67"/>
        <v>0.42600528096215839</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1">
        <f>'Input data'!B147</f>
        <v>74.373096484110363</v>
      </c>
      <c r="C127" s="1550">
        <f>'Input data'!C147</f>
        <v>8179.7504647675678</v>
      </c>
      <c r="D127" s="1550">
        <f>'Input data'!D147</f>
        <v>836750.66224562365</v>
      </c>
      <c r="E127" s="1455">
        <f t="shared" si="89"/>
        <v>1</v>
      </c>
      <c r="F127" s="1449">
        <f t="shared" si="89"/>
        <v>0.37</v>
      </c>
      <c r="G127" s="1554">
        <f>B127*F127*'Input data'!$C$9</f>
        <v>842.24731351072307</v>
      </c>
      <c r="H127" s="1542">
        <f>'Input data'!I147</f>
        <v>424.26313389388866</v>
      </c>
      <c r="I127" s="1509">
        <f>'Input data'!K147</f>
        <v>31553.762991741216</v>
      </c>
      <c r="J127" s="1509">
        <f t="shared" si="91"/>
        <v>2228.8062963921584</v>
      </c>
      <c r="K127" s="1511">
        <f t="shared" si="77"/>
        <v>12434.809473169109</v>
      </c>
      <c r="L127" s="1504">
        <f t="shared" si="90"/>
        <v>0.7</v>
      </c>
      <c r="M127" s="1504">
        <f t="shared" si="90"/>
        <v>0.6</v>
      </c>
      <c r="N127" s="1504">
        <f t="shared" si="90"/>
        <v>0.9</v>
      </c>
      <c r="O127" s="1504">
        <f t="shared" si="90"/>
        <v>0.9</v>
      </c>
      <c r="P127" s="1504">
        <f t="shared" si="90"/>
        <v>0.23600000000000002</v>
      </c>
      <c r="Q127" s="1508">
        <f t="shared" si="33"/>
        <v>337.8579113068713</v>
      </c>
      <c r="R127" s="1509">
        <f t="shared" si="34"/>
        <v>235.76775131343163</v>
      </c>
      <c r="S127" s="1509">
        <f t="shared" si="35"/>
        <v>690.42561407138692</v>
      </c>
      <c r="T127" s="1509">
        <f t="shared" si="36"/>
        <v>464.88938755446634</v>
      </c>
      <c r="U127" s="1511">
        <f t="shared" si="37"/>
        <v>0</v>
      </c>
      <c r="V127" s="1509">
        <f t="shared" si="38"/>
        <v>1728.9406642461563</v>
      </c>
      <c r="W127" s="1454">
        <f t="shared" si="87"/>
        <v>0.5</v>
      </c>
      <c r="X127" s="530">
        <f t="shared" si="39"/>
        <v>3033.4854703020706</v>
      </c>
      <c r="Y127" s="1508">
        <f t="shared" si="78"/>
        <v>4762.4261345482264</v>
      </c>
      <c r="Z127" s="1509">
        <f t="shared" si="79"/>
        <v>9901.189635013041</v>
      </c>
      <c r="AA127" s="1511">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76.624136847889133</v>
      </c>
      <c r="BW127" s="114">
        <f t="shared" si="63"/>
        <v>0.79227501123422173</v>
      </c>
      <c r="BX127" s="1686">
        <f t="shared" si="24"/>
        <v>0.83675066224562367</v>
      </c>
      <c r="BY127" s="527">
        <f t="shared" si="64"/>
        <v>76.624136847889133</v>
      </c>
      <c r="BZ127" s="417">
        <f t="shared" si="65"/>
        <v>0.79227501123422173</v>
      </c>
      <c r="CA127" s="544">
        <f t="shared" si="25"/>
        <v>0.83675066224562367</v>
      </c>
      <c r="CB127" s="649">
        <f t="shared" si="26"/>
        <v>0.36909169159072286</v>
      </c>
      <c r="CC127" s="525">
        <f t="shared" si="66"/>
        <v>0.42853482113932728</v>
      </c>
      <c r="CD127" s="417">
        <f t="shared" si="27"/>
        <v>0.36909169159072286</v>
      </c>
      <c r="CE127" s="525">
        <f t="shared" si="67"/>
        <v>0.42853482113932728</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1">
        <f>'Input data'!B148</f>
        <v>74.752759240528661</v>
      </c>
      <c r="C128" s="1550">
        <f>'Input data'!C148</f>
        <v>8346.3110427603078</v>
      </c>
      <c r="D128" s="1550">
        <f>'Input data'!D148</f>
        <v>635991.12471002259</v>
      </c>
      <c r="E128" s="1455">
        <f t="shared" ref="E128:F130" si="93">E127</f>
        <v>1</v>
      </c>
      <c r="F128" s="1449">
        <f t="shared" si="93"/>
        <v>0.37</v>
      </c>
      <c r="G128" s="1554">
        <f>B128*F128*'Input data'!$C$9</f>
        <v>846.5468512703444</v>
      </c>
      <c r="H128" s="1542">
        <f>'Input data'!I148</f>
        <v>424.26313389388866</v>
      </c>
      <c r="I128" s="1509">
        <f>'Input data'!K148</f>
        <v>31714.839902602034</v>
      </c>
      <c r="J128" s="1509">
        <f t="shared" si="91"/>
        <v>2228.8062963921584</v>
      </c>
      <c r="K128" s="1511">
        <f t="shared" si="77"/>
        <v>12509.664885210746</v>
      </c>
      <c r="L128" s="1504">
        <f t="shared" ref="L128:P130" si="94">L127</f>
        <v>0.7</v>
      </c>
      <c r="M128" s="1504">
        <f t="shared" si="94"/>
        <v>0.6</v>
      </c>
      <c r="N128" s="1504">
        <f t="shared" si="94"/>
        <v>0.9</v>
      </c>
      <c r="O128" s="1504">
        <f t="shared" si="94"/>
        <v>0.9</v>
      </c>
      <c r="P128" s="1504">
        <f t="shared" si="94"/>
        <v>0.23600000000000002</v>
      </c>
      <c r="Q128" s="1508">
        <f t="shared" si="33"/>
        <v>339.58262188029607</v>
      </c>
      <c r="R128" s="1509">
        <f t="shared" si="34"/>
        <v>236.971307956489</v>
      </c>
      <c r="S128" s="1509">
        <f t="shared" si="35"/>
        <v>693.95012634977684</v>
      </c>
      <c r="T128" s="1509">
        <f t="shared" si="36"/>
        <v>467.26257348664376</v>
      </c>
      <c r="U128" s="1511">
        <f t="shared" si="37"/>
        <v>0</v>
      </c>
      <c r="V128" s="1509">
        <f t="shared" si="38"/>
        <v>1737.7666296732057</v>
      </c>
      <c r="W128" s="1454">
        <f t="shared" si="87"/>
        <v>0.5</v>
      </c>
      <c r="X128" s="530">
        <f t="shared" si="39"/>
        <v>3033.4854703020706</v>
      </c>
      <c r="Y128" s="1508">
        <f t="shared" si="78"/>
        <v>4771.252099975276</v>
      </c>
      <c r="Z128" s="1509">
        <f t="shared" si="79"/>
        <v>9967.2190816276288</v>
      </c>
      <c r="AA128" s="1511">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77.449519103663917</v>
      </c>
      <c r="BW128" s="114">
        <f t="shared" si="63"/>
        <v>0.79448874376339074</v>
      </c>
      <c r="BX128" s="1686">
        <f t="shared" si="24"/>
        <v>0.63599112471002262</v>
      </c>
      <c r="BY128" s="527">
        <f t="shared" si="64"/>
        <v>77.449519103663917</v>
      </c>
      <c r="BZ128" s="417">
        <f t="shared" si="65"/>
        <v>0.79448874376339074</v>
      </c>
      <c r="CA128" s="544">
        <f t="shared" si="25"/>
        <v>0.63599112471002262</v>
      </c>
      <c r="CB128" s="649">
        <f t="shared" si="26"/>
        <v>0.3706677901680655</v>
      </c>
      <c r="CC128" s="525">
        <f t="shared" si="66"/>
        <v>0.43107500374239638</v>
      </c>
      <c r="CD128" s="417">
        <f t="shared" si="27"/>
        <v>0.3706677901680655</v>
      </c>
      <c r="CE128" s="525">
        <f t="shared" si="67"/>
        <v>0.43107500374239638</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8507.9647859669603</v>
      </c>
      <c r="D129" s="1550">
        <f>'Input data'!D149</f>
        <v>435231.58717442153</v>
      </c>
      <c r="E129" s="1455">
        <f t="shared" si="93"/>
        <v>1</v>
      </c>
      <c r="F129" s="1449">
        <f t="shared" si="93"/>
        <v>0.37</v>
      </c>
      <c r="G129" s="1554">
        <f>B129*F129*'Input data'!$C$9</f>
        <v>850.86833748221932</v>
      </c>
      <c r="H129" s="1542">
        <f>'Input data'!I149</f>
        <v>424.26313389388866</v>
      </c>
      <c r="I129" s="1509">
        <f>'Input data'!K149</f>
        <v>31876.739085317382</v>
      </c>
      <c r="J129" s="1509">
        <f t="shared" si="91"/>
        <v>2228.8062963921584</v>
      </c>
      <c r="K129" s="1511">
        <f t="shared" si="77"/>
        <v>12584.902422152543</v>
      </c>
      <c r="L129" s="1504">
        <f t="shared" si="94"/>
        <v>0.7</v>
      </c>
      <c r="M129" s="1504">
        <f t="shared" si="94"/>
        <v>0.6</v>
      </c>
      <c r="N129" s="1504">
        <f t="shared" si="94"/>
        <v>0.9</v>
      </c>
      <c r="O129" s="1504">
        <f t="shared" si="94"/>
        <v>0.9</v>
      </c>
      <c r="P129" s="1504">
        <f t="shared" si="94"/>
        <v>0.23600000000000002</v>
      </c>
      <c r="Q129" s="1508">
        <f t="shared" si="33"/>
        <v>341.31613682521129</v>
      </c>
      <c r="R129" s="1509">
        <f t="shared" si="34"/>
        <v>238.18100856361684</v>
      </c>
      <c r="S129" s="1509">
        <f t="shared" si="35"/>
        <v>697.49263069935796</v>
      </c>
      <c r="T129" s="1509">
        <f t="shared" si="36"/>
        <v>469.64787415324872</v>
      </c>
      <c r="U129" s="1511">
        <f t="shared" si="37"/>
        <v>0</v>
      </c>
      <c r="V129" s="1509">
        <f t="shared" si="38"/>
        <v>1746.6376502414348</v>
      </c>
      <c r="W129" s="1454">
        <f t="shared" si="87"/>
        <v>0.5</v>
      </c>
      <c r="X129" s="530">
        <f t="shared" si="39"/>
        <v>3033.4854703020706</v>
      </c>
      <c r="Y129" s="1508">
        <f t="shared" si="78"/>
        <v>4780.1231205435051</v>
      </c>
      <c r="Z129" s="1509">
        <f t="shared" si="79"/>
        <v>10033.585598001197</v>
      </c>
      <c r="AA129" s="1511">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78.250022725329288</v>
      </c>
      <c r="BW129" s="114">
        <f t="shared" si="63"/>
        <v>0.79659113938170112</v>
      </c>
      <c r="BX129" s="1686">
        <f t="shared" si="24"/>
        <v>0.43523158717442151</v>
      </c>
      <c r="BY129" s="527">
        <f t="shared" si="64"/>
        <v>78.250022725329288</v>
      </c>
      <c r="BZ129" s="417">
        <f t="shared" si="65"/>
        <v>0.79659113938170112</v>
      </c>
      <c r="CA129" s="544">
        <f t="shared" si="25"/>
        <v>0.43523158717442151</v>
      </c>
      <c r="CB129" s="649">
        <f t="shared" si="26"/>
        <v>0.37223532617222466</v>
      </c>
      <c r="CC129" s="525">
        <f t="shared" si="66"/>
        <v>0.43344555989420908</v>
      </c>
      <c r="CD129" s="417">
        <f t="shared" si="27"/>
        <v>0.37223532617222466</v>
      </c>
      <c r="CE129" s="525">
        <f t="shared" si="67"/>
        <v>0.43344555989420908</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8670.5902188603068</v>
      </c>
      <c r="D130" s="239">
        <f>'Input data'!D150</f>
        <v>234472.04963882058</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4">
        <f t="shared" si="13"/>
        <v>493.47361379422671</v>
      </c>
      <c r="AS130" s="1475">
        <f t="shared" si="14"/>
        <v>625.85804497173024</v>
      </c>
      <c r="AT130" s="1475">
        <f t="shared" si="15"/>
        <v>118.14226305492249</v>
      </c>
      <c r="AU130" s="1475">
        <f t="shared" si="16"/>
        <v>0</v>
      </c>
      <c r="AV130" s="1475">
        <f t="shared" si="17"/>
        <v>0</v>
      </c>
      <c r="AW130" s="1475">
        <f t="shared" si="18"/>
        <v>0</v>
      </c>
      <c r="AX130" s="1475">
        <f t="shared" si="19"/>
        <v>825.06613595655131</v>
      </c>
      <c r="AY130" s="1475">
        <f t="shared" si="20"/>
        <v>66.458631392678186</v>
      </c>
      <c r="AZ130" s="1475">
        <f t="shared" si="21"/>
        <v>18.681538744964712</v>
      </c>
      <c r="BA130" s="1475">
        <f t="shared" si="22"/>
        <v>48.250775685348998</v>
      </c>
      <c r="BB130" s="1475">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79.055791381835505</v>
      </c>
      <c r="BW130" s="651">
        <f t="shared" si="63"/>
        <v>0.7986643649035382</v>
      </c>
      <c r="BX130" s="1687">
        <f t="shared" si="24"/>
        <v>0.23447204963882057</v>
      </c>
      <c r="BY130" s="670">
        <f t="shared" si="64"/>
        <v>79.055791381835505</v>
      </c>
      <c r="BZ130" s="651">
        <f t="shared" si="65"/>
        <v>0.7986643649035382</v>
      </c>
      <c r="CA130" s="675">
        <f t="shared" si="25"/>
        <v>0.23447204963882057</v>
      </c>
      <c r="CB130" s="650">
        <f t="shared" si="26"/>
        <v>0.37379435129462157</v>
      </c>
      <c r="CC130" s="652">
        <f t="shared" si="66"/>
        <v>0.43575245492632042</v>
      </c>
      <c r="CD130" s="651">
        <f t="shared" si="27"/>
        <v>0.37379435129462157</v>
      </c>
      <c r="CE130" s="652">
        <f t="shared" si="67"/>
        <v>0.43575245492632042</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3" t="s">
        <v>602</v>
      </c>
      <c r="B134" s="1874"/>
      <c r="C134" s="1874"/>
      <c r="D134" s="1875"/>
      <c r="E134" s="1805" t="s">
        <v>603</v>
      </c>
      <c r="F134" s="1806"/>
      <c r="G134" s="1806"/>
      <c r="H134" s="1806"/>
      <c r="I134" s="1807"/>
      <c r="J134" s="1822" t="s">
        <v>604</v>
      </c>
      <c r="K134" s="1823"/>
      <c r="L134" s="1824"/>
      <c r="M134" s="1825" t="s">
        <v>757</v>
      </c>
      <c r="N134" s="1808" t="s">
        <v>607</v>
      </c>
      <c r="O134" s="1897"/>
      <c r="P134" s="1895" t="s">
        <v>594</v>
      </c>
      <c r="Q134" s="1814" t="s">
        <v>765</v>
      </c>
      <c r="R134" s="1814" t="s">
        <v>768</v>
      </c>
      <c r="S134" s="1814" t="s">
        <v>767</v>
      </c>
      <c r="T134" s="1838" t="s">
        <v>769</v>
      </c>
      <c r="U134" s="1836" t="s">
        <v>770</v>
      </c>
      <c r="V134" s="1812" t="s">
        <v>760</v>
      </c>
      <c r="W134" s="1834" t="s">
        <v>761</v>
      </c>
      <c r="X134" s="1844" t="s">
        <v>592</v>
      </c>
      <c r="Y134" s="1845"/>
      <c r="Z134" s="1845"/>
      <c r="AA134" s="1845"/>
      <c r="AB134" s="1845"/>
      <c r="AC134" s="1845"/>
      <c r="AD134" s="1845"/>
      <c r="AE134" s="1846"/>
      <c r="AF134" s="1846"/>
      <c r="AG134" s="1846"/>
      <c r="AH134" s="1846"/>
      <c r="AI134" s="1846"/>
      <c r="AJ134" s="1847"/>
      <c r="AK134" s="1910" t="s">
        <v>728</v>
      </c>
      <c r="AL134" s="1911"/>
      <c r="AM134" s="1911"/>
      <c r="AN134" s="1911"/>
      <c r="AO134" s="1912"/>
    </row>
    <row r="135" spans="1:91" ht="43.15" customHeight="1">
      <c r="A135" s="1868" t="s">
        <v>217</v>
      </c>
      <c r="B135" s="703" t="s">
        <v>218</v>
      </c>
      <c r="C135" s="703" t="s">
        <v>390</v>
      </c>
      <c r="D135" s="513" t="s">
        <v>629</v>
      </c>
      <c r="E135" s="704" t="s">
        <v>779</v>
      </c>
      <c r="F135" s="704" t="s">
        <v>780</v>
      </c>
      <c r="G135" s="704" t="s">
        <v>764</v>
      </c>
      <c r="H135" s="705" t="s">
        <v>597</v>
      </c>
      <c r="I135" s="705" t="s">
        <v>626</v>
      </c>
      <c r="J135" s="1461" t="s">
        <v>326</v>
      </c>
      <c r="K135" s="1461" t="s">
        <v>758</v>
      </c>
      <c r="L135" s="706" t="s">
        <v>759</v>
      </c>
      <c r="M135" s="1826"/>
      <c r="N135" s="508" t="s">
        <v>605</v>
      </c>
      <c r="O135" s="559" t="s">
        <v>606</v>
      </c>
      <c r="P135" s="1896"/>
      <c r="Q135" s="1815"/>
      <c r="R135" s="1815"/>
      <c r="S135" s="1815"/>
      <c r="T135" s="1839"/>
      <c r="U135" s="1837"/>
      <c r="V135" s="1813"/>
      <c r="W135" s="1835"/>
      <c r="X135" s="1464" t="s">
        <v>473</v>
      </c>
      <c r="Y135" s="1465" t="s">
        <v>489</v>
      </c>
      <c r="Z135" s="1636" t="s">
        <v>807</v>
      </c>
      <c r="AA135" s="1465" t="s">
        <v>377</v>
      </c>
      <c r="AB135" s="1465" t="s">
        <v>477</v>
      </c>
      <c r="AC135" s="1465" t="s">
        <v>225</v>
      </c>
      <c r="AD135" s="713" t="s">
        <v>617</v>
      </c>
      <c r="AE135" s="1092" t="s">
        <v>473</v>
      </c>
      <c r="AF135" s="1465" t="s">
        <v>489</v>
      </c>
      <c r="AG135" s="1636" t="s">
        <v>807</v>
      </c>
      <c r="AH135" s="1465" t="s">
        <v>377</v>
      </c>
      <c r="AI135" s="1465" t="s">
        <v>477</v>
      </c>
      <c r="AJ135" s="1466" t="s">
        <v>225</v>
      </c>
      <c r="AK135" s="189" t="s">
        <v>724</v>
      </c>
      <c r="AL135" s="712" t="s">
        <v>493</v>
      </c>
      <c r="AM135" s="712" t="s">
        <v>725</v>
      </c>
      <c r="AN135" s="712" t="s">
        <v>225</v>
      </c>
      <c r="AO135" s="1183" t="s">
        <v>617</v>
      </c>
    </row>
    <row r="136" spans="1:91" ht="45" customHeight="1" thickBot="1">
      <c r="A136" s="1869"/>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3">
        <f>'Input data'!D117</f>
        <v>49995051</v>
      </c>
      <c r="E137" s="956">
        <f>'Input data'!J117*C137</f>
        <v>37506.923384615395</v>
      </c>
      <c r="F137" s="957">
        <f>'Input data'!L117</f>
        <v>87501.974384615402</v>
      </c>
      <c r="G137" s="957">
        <f>F137*B11</f>
        <v>68439.708347615408</v>
      </c>
      <c r="H137" s="677">
        <f t="shared" ref="H137:H170" si="95">E137*$B$12+I137*$E$80-G137</f>
        <v>0</v>
      </c>
      <c r="I137" s="1467">
        <f>D137/1000</f>
        <v>49995.050999999999</v>
      </c>
      <c r="J137" s="649">
        <f>H17</f>
        <v>6.154773859516615E-2</v>
      </c>
      <c r="K137" s="957">
        <f>(I137)*J137-(I137)*$J$137</f>
        <v>0</v>
      </c>
      <c r="L137" s="957">
        <f>(E137)*$C$12*$G$12-(E137)*$C$12*$G$12</f>
        <v>0</v>
      </c>
      <c r="M137" s="1467">
        <f>L137+K137</f>
        <v>0</v>
      </c>
      <c r="N137" s="708">
        <v>0</v>
      </c>
      <c r="O137" s="1467">
        <f>N137*$E$137*($C$85)*$B$12</f>
        <v>0</v>
      </c>
      <c r="P137" s="1691">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6">AC137</f>
        <v>87501.974384615402</v>
      </c>
      <c r="W137" s="1534">
        <f t="shared" ref="W137:W170" si="97">(1-V137/F137)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c r="AV137" s="561"/>
      <c r="AW137" s="561"/>
    </row>
    <row r="138" spans="1:91">
      <c r="A138" s="127">
        <f>'Input data'!A118</f>
        <v>2018</v>
      </c>
      <c r="B138" s="662">
        <f>'Input data'!B118</f>
        <v>57.436000617299655</v>
      </c>
      <c r="C138" s="236">
        <f>'Input data'!C118</f>
        <v>3154.0370052724184</v>
      </c>
      <c r="D138" s="1511">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0">
        <f>O138+M138</f>
        <v>1386.2982979223991</v>
      </c>
      <c r="Q138" s="1364">
        <f t="shared" ref="Q138:Q170" si="101">E138*$B$12+(1-$J$137)*I138-P138</f>
        <v>67647.856509301913</v>
      </c>
      <c r="R138" s="1364">
        <f>Q138-G138</f>
        <v>3314.5306625434314</v>
      </c>
      <c r="S138" s="1514">
        <f t="shared" ref="S138:S170" si="102">R138/(Q138-I138*(1-J138))</f>
        <v>0.15275248812947445</v>
      </c>
      <c r="T138" s="135" t="str">
        <f t="shared" ref="T138:T170" si="103">IF(AND(S138&gt;=0,S138&lt;=1),"Yes","No")</f>
        <v>Yes</v>
      </c>
      <c r="U138" s="1514">
        <f t="shared" ref="U138:U170" si="104">IF(S138&lt;=0,0,IF(S138&gt;=1,1,S138))</f>
        <v>0.15275248812947445</v>
      </c>
      <c r="V138" s="1539">
        <f t="shared" si="96"/>
        <v>84991.625303679524</v>
      </c>
      <c r="W138" s="1540">
        <f t="shared" si="97"/>
        <v>3.7534536819961217E-2</v>
      </c>
      <c r="X138" s="527">
        <f t="shared" ref="X138:X170" si="105">(E138*$B$12-O138-L138)*(1-U138)+I138*(1-J138)</f>
        <v>64333.325846758482</v>
      </c>
      <c r="Y138" s="1509">
        <f t="shared" ref="Y138:Y170" si="106">I138*J138+E138*$G$12*$C$12</f>
        <v>7449.3121878932852</v>
      </c>
      <c r="Z138" s="1509">
        <f t="shared" ref="Z138:Z170" si="107">($C$12*$H$12*E138+O138)</f>
        <v>1789.9687605419947</v>
      </c>
      <c r="AA138" s="1509">
        <f t="shared" ref="AA138:AA170" si="108">$F$137*$D$11</f>
        <v>0</v>
      </c>
      <c r="AB138" s="1509">
        <f t="shared" ref="AB138:AB170" si="109">E138*$E$12</f>
        <v>11419.018508485759</v>
      </c>
      <c r="AC138" s="1509">
        <f t="shared" ref="AC138:AC170" si="110">SUM(X138:AB138)</f>
        <v>84991.625303679524</v>
      </c>
      <c r="AD138" s="1535">
        <f t="shared" ref="AD138:AD170" si="111">X138-G138</f>
        <v>0</v>
      </c>
      <c r="AE138" s="1504">
        <f t="shared" ref="AE138:AE170" si="112">X138/AC138</f>
        <v>0.75693723489687537</v>
      </c>
      <c r="AF138" s="1504">
        <f t="shared" ref="AF138:AF170" si="113">Y138/AC138</f>
        <v>8.7647602469966931E-2</v>
      </c>
      <c r="AG138" s="1504">
        <f t="shared" ref="AG138:AG170" si="114">Z138/AC138</f>
        <v>2.1060531012865594E-2</v>
      </c>
      <c r="AH138" s="1504">
        <f>AA138/AC138</f>
        <v>0</v>
      </c>
      <c r="AI138" s="1504">
        <f t="shared" ref="AI138:AI169" si="115">AB138/AC138</f>
        <v>0.1343546316202921</v>
      </c>
      <c r="AJ138" s="1541">
        <f t="shared" ref="AJ138:AJ170" si="116">SUM(AE138:AI138)</f>
        <v>1</v>
      </c>
      <c r="AK138" s="1555">
        <f t="shared" ref="AK138:AK170" si="117">I138*(1-$J$137)-K138</f>
        <v>45949.154883348674</v>
      </c>
      <c r="AL138" s="1556">
        <f t="shared" ref="AL138:AL170" si="118">(E138*$C$86*$B$12-L138)*(1-U138)</f>
        <v>17158.829451148249</v>
      </c>
      <c r="AM138" s="1556">
        <f t="shared" ref="AM138:AM170" si="119">(E138*($C$85)*$B$12-O138)*(1-U138)</f>
        <v>1225.3415122615597</v>
      </c>
      <c r="AN138" s="1556">
        <f t="shared" ref="AN138:AN170" si="120">SUM(AK138:AM138)</f>
        <v>64333.325846758489</v>
      </c>
      <c r="AO138" s="1543">
        <f t="shared" ref="AO138:AO170" si="121">AN138-X138</f>
        <v>0</v>
      </c>
      <c r="AV138" s="561"/>
      <c r="AW138" s="561"/>
    </row>
    <row r="139" spans="1:91">
      <c r="A139" s="127">
        <f>'Input data'!A119</f>
        <v>2019</v>
      </c>
      <c r="B139" s="662">
        <f>'Input data'!B119</f>
        <v>58.364834921819444</v>
      </c>
      <c r="C139" s="236">
        <f>'Input data'!C119</f>
        <v>4436.7667702662829</v>
      </c>
      <c r="D139" s="1511">
        <f>'Input data'!D119</f>
        <v>53495734.497914702</v>
      </c>
      <c r="E139" s="527">
        <f>'Input data'!J119*C139</f>
        <v>53378.943448602397</v>
      </c>
      <c r="F139" s="528">
        <f>'Input data'!L119</f>
        <v>106874.6779465171</v>
      </c>
      <c r="G139" s="528">
        <f>G137*0.89</f>
        <v>60911.340429377713</v>
      </c>
      <c r="H139" s="528">
        <f t="shared" si="95"/>
        <v>19921.070380681893</v>
      </c>
      <c r="I139" s="530">
        <f t="shared" si="98"/>
        <v>53495.734497914702</v>
      </c>
      <c r="J139" s="649">
        <f t="shared" ref="J139:J149" si="122">($J$150-$J$137)/($A$150-$A$137)+J138</f>
        <v>0.11361731727283289</v>
      </c>
      <c r="K139" s="775">
        <f t="shared" ref="K139:K170" si="123">(I139)*J139-(I139)*$J$137</f>
        <v>2785.5003563587402</v>
      </c>
      <c r="L139" s="775">
        <f t="shared" si="99"/>
        <v>0</v>
      </c>
      <c r="M139" s="530">
        <f t="shared" ref="M139:M170" si="124">L139+K139</f>
        <v>2785.5003563587402</v>
      </c>
      <c r="N139" s="1454">
        <v>0.1</v>
      </c>
      <c r="O139" s="530">
        <f t="shared" si="100"/>
        <v>150.38340000000005</v>
      </c>
      <c r="P139" s="1210">
        <f>O139+M139</f>
        <v>2935.8837563587404</v>
      </c>
      <c r="Q139" s="1364">
        <f t="shared" si="101"/>
        <v>77896.527053700862</v>
      </c>
      <c r="R139" s="1364">
        <f t="shared" ref="R139:R170" si="125">Q139-G139</f>
        <v>16985.186624323149</v>
      </c>
      <c r="S139" s="1514">
        <f t="shared" si="102"/>
        <v>0.55727809023829544</v>
      </c>
      <c r="T139" s="135" t="str">
        <f t="shared" si="103"/>
        <v>Yes</v>
      </c>
      <c r="U139" s="1514">
        <f t="shared" si="104"/>
        <v>0.55727809023829544</v>
      </c>
      <c r="V139" s="1539">
        <f t="shared" si="96"/>
        <v>89889.49132219395</v>
      </c>
      <c r="W139" s="1540">
        <f t="shared" si="97"/>
        <v>0.1589262017034847</v>
      </c>
      <c r="X139" s="527">
        <f t="shared" si="105"/>
        <v>60911.340429377713</v>
      </c>
      <c r="Y139" s="1509">
        <f t="shared" si="106"/>
        <v>10352.528410102976</v>
      </c>
      <c r="Z139" s="1509">
        <f t="shared" si="107"/>
        <v>2562.551002317176</v>
      </c>
      <c r="AA139" s="1509">
        <f t="shared" si="108"/>
        <v>0</v>
      </c>
      <c r="AB139" s="1509">
        <f t="shared" si="109"/>
        <v>16063.071480396085</v>
      </c>
      <c r="AC139" s="1509">
        <f t="shared" si="110"/>
        <v>89889.49132219395</v>
      </c>
      <c r="AD139" s="1535">
        <f t="shared" si="111"/>
        <v>0</v>
      </c>
      <c r="AE139" s="1504">
        <f t="shared" si="112"/>
        <v>0.67762470933394348</v>
      </c>
      <c r="AF139" s="1504">
        <f t="shared" si="113"/>
        <v>0.11516950711174966</v>
      </c>
      <c r="AG139" s="1504">
        <f t="shared" si="114"/>
        <v>2.8507792897972218E-2</v>
      </c>
      <c r="AH139" s="1504">
        <f t="shared" ref="AH139:AH170" si="126">AA139/AC139</f>
        <v>0</v>
      </c>
      <c r="AI139" s="1504">
        <f t="shared" si="115"/>
        <v>0.1786979906563346</v>
      </c>
      <c r="AJ139" s="1541">
        <f t="shared" si="116"/>
        <v>1</v>
      </c>
      <c r="AK139" s="1555">
        <f t="shared" si="117"/>
        <v>47417.692658721899</v>
      </c>
      <c r="AL139" s="1556">
        <f t="shared" si="118"/>
        <v>12612.703481765626</v>
      </c>
      <c r="AM139" s="1556">
        <f t="shared" si="119"/>
        <v>880.94428889018752</v>
      </c>
      <c r="AN139" s="1556">
        <f t="shared" si="120"/>
        <v>60911.340429377713</v>
      </c>
      <c r="AO139" s="1543">
        <f t="shared" si="121"/>
        <v>0</v>
      </c>
      <c r="AV139" s="561"/>
      <c r="AW139" s="561"/>
    </row>
    <row r="140" spans="1:91">
      <c r="A140" s="127">
        <f>'Input data'!A120</f>
        <v>2020</v>
      </c>
      <c r="B140" s="662">
        <f>'Input data'!B120</f>
        <v>59.308690000000006</v>
      </c>
      <c r="C140" s="236">
        <f>'Input data'!C120</f>
        <v>4156.6412676508144</v>
      </c>
      <c r="D140" s="1511">
        <f>'Input data'!D120</f>
        <v>51132056.241912685</v>
      </c>
      <c r="E140" s="527">
        <f>'Input data'!J120*C140</f>
        <v>50008.740745401708</v>
      </c>
      <c r="F140" s="528">
        <f>'Input data'!L120</f>
        <v>101140.79698731439</v>
      </c>
      <c r="G140" s="528">
        <f>G137*0.81</f>
        <v>55436.163761568481</v>
      </c>
      <c r="H140" s="528">
        <f t="shared" si="95"/>
        <v>21244.201537850815</v>
      </c>
      <c r="I140" s="530">
        <f t="shared" si="98"/>
        <v>51132.056241912687</v>
      </c>
      <c r="J140" s="649">
        <f t="shared" si="122"/>
        <v>0.13965210661166627</v>
      </c>
      <c r="K140" s="775">
        <f t="shared" si="123"/>
        <v>3993.6369381587306</v>
      </c>
      <c r="L140" s="775">
        <f t="shared" si="99"/>
        <v>0</v>
      </c>
      <c r="M140" s="530">
        <f t="shared" si="124"/>
        <v>3993.6369381587306</v>
      </c>
      <c r="N140" s="1454">
        <f>($N$142-$N$137)/($A$102-$A$97)+N139</f>
        <v>0.2</v>
      </c>
      <c r="O140" s="530">
        <f t="shared" si="100"/>
        <v>300.7668000000001</v>
      </c>
      <c r="P140" s="1210">
        <f t="shared" ref="P140:P170" si="127">O140+M140</f>
        <v>4294.4037381587304</v>
      </c>
      <c r="Q140" s="1364">
        <f t="shared" si="101"/>
        <v>72385.96156126057</v>
      </c>
      <c r="R140" s="1364">
        <f t="shared" si="125"/>
        <v>16949.797799692089</v>
      </c>
      <c r="S140" s="1514">
        <f t="shared" si="102"/>
        <v>0.59693726978730677</v>
      </c>
      <c r="T140" s="135" t="str">
        <f t="shared" si="103"/>
        <v>Yes</v>
      </c>
      <c r="U140" s="1514">
        <f t="shared" si="104"/>
        <v>0.59693726978730677</v>
      </c>
      <c r="V140" s="1539">
        <f t="shared" si="96"/>
        <v>84190.999187622321</v>
      </c>
      <c r="W140" s="1540">
        <f t="shared" si="97"/>
        <v>0.16758616013099048</v>
      </c>
      <c r="X140" s="527">
        <f t="shared" si="105"/>
        <v>55436.163761568474</v>
      </c>
      <c r="Y140" s="1509">
        <f t="shared" si="106"/>
        <v>11145.306372519357</v>
      </c>
      <c r="Z140" s="1509">
        <f t="shared" si="107"/>
        <v>2560.6366375303887</v>
      </c>
      <c r="AA140" s="1509">
        <f t="shared" si="108"/>
        <v>0</v>
      </c>
      <c r="AB140" s="1509">
        <f t="shared" si="109"/>
        <v>15048.892416004092</v>
      </c>
      <c r="AC140" s="1509">
        <f t="shared" si="110"/>
        <v>84190.999187622321</v>
      </c>
      <c r="AD140" s="1535">
        <f t="shared" si="111"/>
        <v>0</v>
      </c>
      <c r="AE140" s="1504">
        <f t="shared" si="112"/>
        <v>0.65845713076794843</v>
      </c>
      <c r="AF140" s="1504">
        <f t="shared" si="113"/>
        <v>0.13238121034389538</v>
      </c>
      <c r="AG140" s="1504">
        <f t="shared" si="114"/>
        <v>3.0414612752414642E-2</v>
      </c>
      <c r="AH140" s="1504">
        <f t="shared" si="126"/>
        <v>0</v>
      </c>
      <c r="AI140" s="1504">
        <f t="shared" si="115"/>
        <v>0.17874704613574138</v>
      </c>
      <c r="AJ140" s="1541">
        <f t="shared" si="116"/>
        <v>0.99999999999999978</v>
      </c>
      <c r="AK140" s="1555">
        <f t="shared" si="117"/>
        <v>43991.356872343385</v>
      </c>
      <c r="AL140" s="1556">
        <f t="shared" si="118"/>
        <v>10757.856785463338</v>
      </c>
      <c r="AM140" s="1556">
        <f t="shared" si="119"/>
        <v>686.95010376176072</v>
      </c>
      <c r="AN140" s="1556">
        <f t="shared" si="120"/>
        <v>55436.163761568481</v>
      </c>
      <c r="AO140" s="1543">
        <f t="shared" si="121"/>
        <v>0</v>
      </c>
      <c r="AV140" s="561"/>
      <c r="AW140" s="561"/>
    </row>
    <row r="141" spans="1:91">
      <c r="A141" s="127">
        <f>'Input data'!A121</f>
        <v>2021</v>
      </c>
      <c r="B141" s="1551">
        <f>'Input data'!B121</f>
        <v>59.991580449204264</v>
      </c>
      <c r="C141" s="1550">
        <f>'Input data'!C121</f>
        <v>4293.1482366506107</v>
      </c>
      <c r="D141" s="1511">
        <f>'Input data'!D121</f>
        <v>51275503.644747034</v>
      </c>
      <c r="E141" s="527">
        <f>'Input data'!J121*C141</f>
        <v>51651.062317816235</v>
      </c>
      <c r="F141" s="528">
        <f>'Input data'!L121</f>
        <v>102926.56596256327</v>
      </c>
      <c r="G141" s="528">
        <f>G137*0.65</f>
        <v>44485.810425950018</v>
      </c>
      <c r="H141" s="528">
        <f t="shared" si="95"/>
        <v>33271.549224205002</v>
      </c>
      <c r="I141" s="530">
        <f t="shared" si="98"/>
        <v>51275.503644747034</v>
      </c>
      <c r="J141" s="649">
        <f t="shared" si="122"/>
        <v>0.16568689595049965</v>
      </c>
      <c r="K141" s="775">
        <f t="shared" si="123"/>
        <v>5339.7877425342876</v>
      </c>
      <c r="L141" s="775">
        <f t="shared" si="99"/>
        <v>0</v>
      </c>
      <c r="M141" s="530">
        <f t="shared" si="124"/>
        <v>5339.7877425342876</v>
      </c>
      <c r="N141" s="1454">
        <v>0.4</v>
      </c>
      <c r="O141" s="530">
        <f t="shared" si="100"/>
        <v>601.53360000000021</v>
      </c>
      <c r="P141" s="1210">
        <f t="shared" si="127"/>
        <v>5941.3213425342874</v>
      </c>
      <c r="Q141" s="1364">
        <f t="shared" si="101"/>
        <v>71816.038307620736</v>
      </c>
      <c r="R141" s="1364">
        <f t="shared" si="125"/>
        <v>27330.227881670718</v>
      </c>
      <c r="S141" s="1514">
        <f t="shared" si="102"/>
        <v>0.94124627143119832</v>
      </c>
      <c r="T141" s="135" t="str">
        <f t="shared" si="103"/>
        <v>Yes</v>
      </c>
      <c r="U141" s="1514">
        <f t="shared" si="104"/>
        <v>0.94124627143119832</v>
      </c>
      <c r="V141" s="1539">
        <f t="shared" si="96"/>
        <v>75596.338080892543</v>
      </c>
      <c r="W141" s="1540">
        <f t="shared" si="97"/>
        <v>0.26553132931308865</v>
      </c>
      <c r="X141" s="527">
        <f t="shared" si="105"/>
        <v>44485.810425950018</v>
      </c>
      <c r="Y141" s="1509">
        <f t="shared" si="106"/>
        <v>12631.80009892837</v>
      </c>
      <c r="Z141" s="1509">
        <f t="shared" si="107"/>
        <v>2935.6191232226211</v>
      </c>
      <c r="AA141" s="1509">
        <f t="shared" si="108"/>
        <v>0</v>
      </c>
      <c r="AB141" s="1509">
        <f t="shared" si="109"/>
        <v>15543.108432791545</v>
      </c>
      <c r="AC141" s="1509">
        <f t="shared" si="110"/>
        <v>75596.338080892543</v>
      </c>
      <c r="AD141" s="1535">
        <f t="shared" si="111"/>
        <v>0</v>
      </c>
      <c r="AE141" s="1504">
        <f t="shared" si="112"/>
        <v>0.58846514996993071</v>
      </c>
      <c r="AF141" s="1504">
        <f t="shared" si="113"/>
        <v>0.16709539667664322</v>
      </c>
      <c r="AG141" s="1504">
        <f t="shared" si="114"/>
        <v>3.8832821770828835E-2</v>
      </c>
      <c r="AH141" s="1504">
        <f t="shared" si="126"/>
        <v>0</v>
      </c>
      <c r="AI141" s="1504">
        <f t="shared" si="115"/>
        <v>0.20560663158259732</v>
      </c>
      <c r="AJ141" s="1541">
        <f t="shared" si="116"/>
        <v>1</v>
      </c>
      <c r="AK141" s="1555">
        <f t="shared" si="117"/>
        <v>42779.824607550363</v>
      </c>
      <c r="AL141" s="1556">
        <f t="shared" si="118"/>
        <v>1619.652657637936</v>
      </c>
      <c r="AM141" s="1556">
        <f t="shared" si="119"/>
        <v>86.333160761719043</v>
      </c>
      <c r="AN141" s="1556">
        <f t="shared" si="120"/>
        <v>44485.810425950018</v>
      </c>
      <c r="AO141" s="1543">
        <f t="shared" si="121"/>
        <v>0</v>
      </c>
      <c r="AV141" s="561"/>
      <c r="AW141" s="561"/>
    </row>
    <row r="142" spans="1:91">
      <c r="A142" s="127">
        <f>'Input data'!A122</f>
        <v>2022</v>
      </c>
      <c r="B142" s="1551">
        <f>'Input data'!B122</f>
        <v>60.682333816399378</v>
      </c>
      <c r="C142" s="1550">
        <f>'Input data'!C122</f>
        <v>4403.1093139322493</v>
      </c>
      <c r="D142" s="1511">
        <f>'Input data'!D122</f>
        <v>50359792.847133137</v>
      </c>
      <c r="E142" s="527">
        <f>'Input data'!J122*C142</f>
        <v>52974.009055765164</v>
      </c>
      <c r="F142" s="528">
        <f>'Input data'!L122</f>
        <v>103333.8019028983</v>
      </c>
      <c r="G142" s="938">
        <f>G137*(1-E4)</f>
        <v>34219.854173807704</v>
      </c>
      <c r="H142" s="528">
        <f t="shared" si="95"/>
        <v>43437.270864804959</v>
      </c>
      <c r="I142" s="530">
        <f t="shared" si="98"/>
        <v>50359.79284713314</v>
      </c>
      <c r="J142" s="649">
        <f t="shared" si="122"/>
        <v>0.19172168528933303</v>
      </c>
      <c r="K142" s="775">
        <f t="shared" si="123"/>
        <v>6555.5329896119965</v>
      </c>
      <c r="L142" s="775">
        <f t="shared" si="99"/>
        <v>0</v>
      </c>
      <c r="M142" s="530">
        <f t="shared" si="124"/>
        <v>6555.5329896119965</v>
      </c>
      <c r="N142" s="1454">
        <f>$E$26</f>
        <v>0.5</v>
      </c>
      <c r="O142" s="530">
        <f t="shared" si="100"/>
        <v>751.91700000000026</v>
      </c>
      <c r="P142" s="1210">
        <f t="shared" si="127"/>
        <v>7307.4499896119969</v>
      </c>
      <c r="Q142" s="1364">
        <f t="shared" si="101"/>
        <v>70349.675049000667</v>
      </c>
      <c r="R142" s="1364">
        <f t="shared" si="125"/>
        <v>36129.820875192963</v>
      </c>
      <c r="S142" s="1514">
        <f t="shared" si="102"/>
        <v>1.218751425485211</v>
      </c>
      <c r="T142" s="135" t="str">
        <f t="shared" si="103"/>
        <v>No</v>
      </c>
      <c r="U142" s="1514">
        <f t="shared" si="104"/>
        <v>1</v>
      </c>
      <c r="V142" s="1539">
        <f t="shared" si="96"/>
        <v>73688.855345556731</v>
      </c>
      <c r="W142" s="1540">
        <f t="shared" si="97"/>
        <v>0.28688527869320646</v>
      </c>
      <c r="X142" s="527">
        <f t="shared" si="105"/>
        <v>40704.728491659072</v>
      </c>
      <c r="Y142" s="1509">
        <f t="shared" si="106"/>
        <v>13897.124532895406</v>
      </c>
      <c r="Z142" s="1509">
        <f t="shared" si="107"/>
        <v>3145.7858208059524</v>
      </c>
      <c r="AA142" s="1509">
        <f t="shared" si="108"/>
        <v>0</v>
      </c>
      <c r="AB142" s="1509">
        <f t="shared" si="109"/>
        <v>15941.216500196295</v>
      </c>
      <c r="AC142" s="1509">
        <f t="shared" si="110"/>
        <v>73688.855345556731</v>
      </c>
      <c r="AD142" s="1554">
        <f t="shared" si="111"/>
        <v>6484.8743178513687</v>
      </c>
      <c r="AE142" s="1504">
        <f t="shared" si="112"/>
        <v>0.5523864945489817</v>
      </c>
      <c r="AF142" s="1504">
        <f t="shared" si="113"/>
        <v>0.1885919447075978</v>
      </c>
      <c r="AG142" s="1504">
        <f t="shared" si="114"/>
        <v>4.2690116518354033E-2</v>
      </c>
      <c r="AH142" s="1504">
        <f t="shared" si="126"/>
        <v>0</v>
      </c>
      <c r="AI142" s="1504">
        <f t="shared" si="115"/>
        <v>0.21633144422506645</v>
      </c>
      <c r="AJ142" s="1541">
        <f t="shared" si="116"/>
        <v>1</v>
      </c>
      <c r="AK142" s="1555">
        <f t="shared" si="117"/>
        <v>40704.72849165908</v>
      </c>
      <c r="AL142" s="1556">
        <f t="shared" si="118"/>
        <v>0</v>
      </c>
      <c r="AM142" s="1556">
        <f t="shared" si="119"/>
        <v>0</v>
      </c>
      <c r="AN142" s="1556">
        <f t="shared" si="120"/>
        <v>40704.72849165908</v>
      </c>
      <c r="AO142" s="1543">
        <f t="shared" si="121"/>
        <v>0</v>
      </c>
      <c r="AV142" s="561"/>
      <c r="AW142" s="561"/>
    </row>
    <row r="143" spans="1:91">
      <c r="A143" s="127">
        <f>'Input data'!A123</f>
        <v>2023</v>
      </c>
      <c r="B143" s="1551">
        <f>'Input data'!B123</f>
        <v>61.381040636574369</v>
      </c>
      <c r="C143" s="1550">
        <f>'Input data'!C123</f>
        <v>4507.0199361395535</v>
      </c>
      <c r="D143" s="1511">
        <f>'Input data'!D123</f>
        <v>49986151.288104504</v>
      </c>
      <c r="E143" s="527">
        <f>'Input data'!J123*C143</f>
        <v>54224.162492651791</v>
      </c>
      <c r="F143" s="528">
        <f>'Input data'!L123</f>
        <v>104210.31378075629</v>
      </c>
      <c r="G143" s="938">
        <f>($G$147-$G$142)/($A$147-$A$142)+G142</f>
        <v>32166.662923379241</v>
      </c>
      <c r="H143" s="528">
        <f t="shared" si="95"/>
        <v>45857.164292060486</v>
      </c>
      <c r="I143" s="530">
        <f t="shared" si="98"/>
        <v>49986.151288104506</v>
      </c>
      <c r="J143" s="649">
        <f t="shared" si="122"/>
        <v>0.21775647462816641</v>
      </c>
      <c r="K143" s="775">
        <f t="shared" si="123"/>
        <v>7808.2735118691326</v>
      </c>
      <c r="L143" s="775">
        <f t="shared" si="99"/>
        <v>0</v>
      </c>
      <c r="M143" s="530">
        <f t="shared" si="124"/>
        <v>7808.2735118691326</v>
      </c>
      <c r="N143" s="1454">
        <f>($N$147-$N$142)/($A$107-$A$102)+N142</f>
        <v>0.5</v>
      </c>
      <c r="O143" s="530">
        <f t="shared" si="100"/>
        <v>751.91700000000026</v>
      </c>
      <c r="P143" s="1210">
        <f t="shared" si="127"/>
        <v>8560.190511869132</v>
      </c>
      <c r="Q143" s="1364">
        <f t="shared" si="101"/>
        <v>69463.636703570592</v>
      </c>
      <c r="R143" s="1364">
        <f t="shared" si="125"/>
        <v>37296.973780191351</v>
      </c>
      <c r="S143" s="1514">
        <f t="shared" si="102"/>
        <v>1.2283977750216122</v>
      </c>
      <c r="T143" s="135" t="str">
        <f t="shared" si="103"/>
        <v>No</v>
      </c>
      <c r="U143" s="1514">
        <f t="shared" si="104"/>
        <v>1</v>
      </c>
      <c r="V143" s="1539">
        <f t="shared" si="96"/>
        <v>73848.020280562399</v>
      </c>
      <c r="W143" s="1540">
        <f t="shared" si="97"/>
        <v>0.29135593588242947</v>
      </c>
      <c r="X143" s="527">
        <f t="shared" si="105"/>
        <v>39101.343203376688</v>
      </c>
      <c r="Y143" s="1509">
        <f t="shared" si="106"/>
        <v>15226.978225597468</v>
      </c>
      <c r="Z143" s="1509">
        <f t="shared" si="107"/>
        <v>3202.2796257327404</v>
      </c>
      <c r="AA143" s="1509">
        <f t="shared" si="108"/>
        <v>0</v>
      </c>
      <c r="AB143" s="1509">
        <f t="shared" si="109"/>
        <v>16317.419225855498</v>
      </c>
      <c r="AC143" s="1509">
        <f t="shared" si="110"/>
        <v>73848.020280562399</v>
      </c>
      <c r="AD143" s="1554">
        <f t="shared" si="111"/>
        <v>6934.6802799974466</v>
      </c>
      <c r="AE143" s="1504">
        <f t="shared" si="112"/>
        <v>0.52948397336615649</v>
      </c>
      <c r="AF143" s="1504">
        <f t="shared" si="113"/>
        <v>0.20619345200788508</v>
      </c>
      <c r="AG143" s="1504">
        <f t="shared" si="114"/>
        <v>4.3363107278525312E-2</v>
      </c>
      <c r="AH143" s="1504">
        <f t="shared" si="126"/>
        <v>0</v>
      </c>
      <c r="AI143" s="1504">
        <f t="shared" si="115"/>
        <v>0.22095946734743299</v>
      </c>
      <c r="AJ143" s="1541">
        <f t="shared" si="116"/>
        <v>0.99999999999999989</v>
      </c>
      <c r="AK143" s="1555">
        <f t="shared" si="117"/>
        <v>39101.343203376688</v>
      </c>
      <c r="AL143" s="1556">
        <f t="shared" si="118"/>
        <v>0</v>
      </c>
      <c r="AM143" s="1556">
        <f t="shared" si="119"/>
        <v>0</v>
      </c>
      <c r="AN143" s="1556">
        <f>SUM(AK143:AM143)</f>
        <v>39101.343203376688</v>
      </c>
      <c r="AO143" s="1543">
        <f t="shared" si="121"/>
        <v>0</v>
      </c>
      <c r="AV143" s="561"/>
      <c r="AW143" s="561"/>
    </row>
    <row r="144" spans="1:91">
      <c r="A144" s="127">
        <f>'Input data'!A124</f>
        <v>2024</v>
      </c>
      <c r="B144" s="1551">
        <f>'Input data'!B124</f>
        <v>62.087792487153699</v>
      </c>
      <c r="C144" s="1550">
        <f>'Input data'!C124</f>
        <v>4624.8292728728675</v>
      </c>
      <c r="D144" s="1511">
        <f>'Input data'!D124</f>
        <v>51073828.378576256</v>
      </c>
      <c r="E144" s="527">
        <f>'Input data'!J124*C144</f>
        <v>55641.531998154896</v>
      </c>
      <c r="F144" s="1509">
        <f>'Input data'!L124</f>
        <v>106715.36037673114</v>
      </c>
      <c r="G144" s="1557">
        <f t="shared" ref="G144:G146" si="128">($G$147-$G$142)/($A$147-$A$142)+G143</f>
        <v>30113.471672950778</v>
      </c>
      <c r="H144" s="1509">
        <f t="shared" si="95"/>
        <v>49744.385281279698</v>
      </c>
      <c r="I144" s="1511">
        <f t="shared" si="98"/>
        <v>51073.828378576254</v>
      </c>
      <c r="J144" s="1454">
        <f t="shared" si="122"/>
        <v>0.24379126396699979</v>
      </c>
      <c r="K144" s="1512">
        <f t="shared" si="123"/>
        <v>9307.8745379477386</v>
      </c>
      <c r="L144" s="1512">
        <f t="shared" si="99"/>
        <v>0</v>
      </c>
      <c r="M144" s="1511">
        <f t="shared" si="124"/>
        <v>9307.8745379477386</v>
      </c>
      <c r="N144" s="1454">
        <f>($N$147-$N$142)/($A$107-$A$102)+N143</f>
        <v>0.5</v>
      </c>
      <c r="O144" s="530">
        <f t="shared" si="100"/>
        <v>751.91700000000026</v>
      </c>
      <c r="P144" s="1210">
        <f t="shared" si="127"/>
        <v>10059.791537947738</v>
      </c>
      <c r="Q144" s="1364">
        <f t="shared" si="101"/>
        <v>69798.065416282741</v>
      </c>
      <c r="R144" s="1364">
        <f t="shared" si="125"/>
        <v>39684.593743331963</v>
      </c>
      <c r="S144" s="1514">
        <f t="shared" si="102"/>
        <v>1.2729380092321385</v>
      </c>
      <c r="T144" s="135" t="str">
        <f t="shared" si="103"/>
        <v>No</v>
      </c>
      <c r="U144" s="1514">
        <f t="shared" si="104"/>
        <v>1</v>
      </c>
      <c r="V144" s="1539">
        <f t="shared" si="96"/>
        <v>75539.770162977948</v>
      </c>
      <c r="W144" s="1540">
        <f t="shared" si="97"/>
        <v>0.29213779631812875</v>
      </c>
      <c r="X144" s="527">
        <f t="shared" si="105"/>
        <v>38622.475202529524</v>
      </c>
      <c r="Y144" s="1509">
        <f t="shared" si="106"/>
        <v>16907.023632319295</v>
      </c>
      <c r="Z144" s="1509">
        <f t="shared" si="107"/>
        <v>3266.3298406827407</v>
      </c>
      <c r="AA144" s="1509">
        <f t="shared" si="108"/>
        <v>0</v>
      </c>
      <c r="AB144" s="1509">
        <f t="shared" si="109"/>
        <v>16743.941487446387</v>
      </c>
      <c r="AC144" s="1509">
        <f t="shared" si="110"/>
        <v>75539.770162977948</v>
      </c>
      <c r="AD144" s="1554">
        <f t="shared" si="111"/>
        <v>8509.0035295787457</v>
      </c>
      <c r="AE144" s="1504">
        <f t="shared" si="112"/>
        <v>0.51128663906709115</v>
      </c>
      <c r="AF144" s="1504">
        <f t="shared" si="113"/>
        <v>0.22381619107183132</v>
      </c>
      <c r="AG144" s="1504">
        <f t="shared" si="114"/>
        <v>4.3239869986837334E-2</v>
      </c>
      <c r="AH144" s="1504">
        <f t="shared" si="126"/>
        <v>0</v>
      </c>
      <c r="AI144" s="1504">
        <f t="shared" si="115"/>
        <v>0.22165729987424024</v>
      </c>
      <c r="AJ144" s="1541">
        <f t="shared" si="116"/>
        <v>1</v>
      </c>
      <c r="AK144" s="1555">
        <f t="shared" si="117"/>
        <v>38622.475202529524</v>
      </c>
      <c r="AL144" s="1556">
        <f t="shared" si="118"/>
        <v>0</v>
      </c>
      <c r="AM144" s="1556">
        <f t="shared" si="119"/>
        <v>0</v>
      </c>
      <c r="AN144" s="1556">
        <f t="shared" si="120"/>
        <v>38622.475202529524</v>
      </c>
      <c r="AO144" s="1543">
        <f t="shared" si="121"/>
        <v>0</v>
      </c>
      <c r="AV144" s="561"/>
      <c r="AW144" s="561"/>
    </row>
    <row r="145" spans="1:49">
      <c r="A145" s="127">
        <f>'Input data'!A125</f>
        <v>2025</v>
      </c>
      <c r="B145" s="1551">
        <f>'Input data'!B125</f>
        <v>62.802682000000026</v>
      </c>
      <c r="C145" s="1550">
        <f>'Input data'!C125</f>
        <v>4737.3047749260231</v>
      </c>
      <c r="D145" s="1511">
        <f>'Input data'!D125</f>
        <v>51201731.8667503</v>
      </c>
      <c r="E145" s="527">
        <f>'Input data'!J125*C145</f>
        <v>56994.729895255135</v>
      </c>
      <c r="F145" s="1509">
        <f>'Input data'!L125</f>
        <v>108196.46176200543</v>
      </c>
      <c r="G145" s="1557">
        <f t="shared" si="128"/>
        <v>28060.280422522315</v>
      </c>
      <c r="H145" s="1509">
        <f t="shared" si="95"/>
        <v>52694.082437199271</v>
      </c>
      <c r="I145" s="1511">
        <f t="shared" si="98"/>
        <v>51201.731866750299</v>
      </c>
      <c r="J145" s="1454">
        <f t="shared" si="122"/>
        <v>0.26982605330583315</v>
      </c>
      <c r="K145" s="1512">
        <f t="shared" si="123"/>
        <v>10664.210423474206</v>
      </c>
      <c r="L145" s="1512">
        <f t="shared" si="99"/>
        <v>0</v>
      </c>
      <c r="M145" s="1511">
        <f t="shared" si="124"/>
        <v>10664.210423474206</v>
      </c>
      <c r="N145" s="1454">
        <f>($N$147-$N$142)/($A$107-$A$102)+N144</f>
        <v>0.5</v>
      </c>
      <c r="O145" s="530">
        <f t="shared" si="100"/>
        <v>751.91700000000026</v>
      </c>
      <c r="P145" s="1210">
        <f t="shared" si="127"/>
        <v>11416.127423474205</v>
      </c>
      <c r="Q145" s="1364">
        <f t="shared" si="101"/>
        <v>69338.235436247385</v>
      </c>
      <c r="R145" s="1364">
        <f t="shared" si="125"/>
        <v>41277.95501372507</v>
      </c>
      <c r="S145" s="1514">
        <f t="shared" si="102"/>
        <v>1.291871285005465</v>
      </c>
      <c r="T145" s="135" t="str">
        <f t="shared" si="103"/>
        <v>No</v>
      </c>
      <c r="U145" s="1514">
        <f t="shared" si="104"/>
        <v>1</v>
      </c>
      <c r="V145" s="1539">
        <f t="shared" si="96"/>
        <v>76244.396960479615</v>
      </c>
      <c r="W145" s="1540">
        <f t="shared" si="97"/>
        <v>0.29531524673892984</v>
      </c>
      <c r="X145" s="527">
        <f t="shared" si="105"/>
        <v>37386.170634721551</v>
      </c>
      <c r="Y145" s="1509">
        <f t="shared" si="106"/>
        <v>18379.593260585112</v>
      </c>
      <c r="Z145" s="1509">
        <f t="shared" si="107"/>
        <v>3327.4801729303604</v>
      </c>
      <c r="AA145" s="1509">
        <f t="shared" si="108"/>
        <v>0</v>
      </c>
      <c r="AB145" s="1509">
        <f t="shared" si="109"/>
        <v>17151.152892242597</v>
      </c>
      <c r="AC145" s="1509">
        <f t="shared" si="110"/>
        <v>76244.396960479615</v>
      </c>
      <c r="AD145" s="1554">
        <f t="shared" si="111"/>
        <v>9325.890212199236</v>
      </c>
      <c r="AE145" s="1504">
        <f t="shared" si="112"/>
        <v>0.49034646643084123</v>
      </c>
      <c r="AF145" s="1504">
        <f t="shared" si="113"/>
        <v>0.24106155984303945</v>
      </c>
      <c r="AG145" s="1504">
        <f t="shared" si="114"/>
        <v>4.3642291179181607E-2</v>
      </c>
      <c r="AH145" s="1504">
        <f t="shared" si="126"/>
        <v>0</v>
      </c>
      <c r="AI145" s="1504">
        <f t="shared" si="115"/>
        <v>0.22494968254693778</v>
      </c>
      <c r="AJ145" s="1541">
        <f t="shared" si="116"/>
        <v>1</v>
      </c>
      <c r="AK145" s="1555">
        <f t="shared" si="117"/>
        <v>37386.170634721559</v>
      </c>
      <c r="AL145" s="1556">
        <f t="shared" si="118"/>
        <v>0</v>
      </c>
      <c r="AM145" s="1556">
        <f t="shared" si="119"/>
        <v>0</v>
      </c>
      <c r="AN145" s="1556">
        <f t="shared" si="120"/>
        <v>37386.170634721559</v>
      </c>
      <c r="AO145" s="1543">
        <f t="shared" si="121"/>
        <v>0</v>
      </c>
      <c r="AV145" s="561"/>
      <c r="AW145" s="561"/>
    </row>
    <row r="146" spans="1:49">
      <c r="A146" s="127">
        <f>'Input data'!A126</f>
        <v>2026</v>
      </c>
      <c r="B146" s="1551">
        <f>'Input data'!B126</f>
        <v>63.421065342005143</v>
      </c>
      <c r="C146" s="1550">
        <f>'Input data'!C126</f>
        <v>4839.0369685354799</v>
      </c>
      <c r="D146" s="1511">
        <f>'Input data'!D126</f>
        <v>50537069.53539668</v>
      </c>
      <c r="E146" s="527">
        <f>'Input data'!J126*C146</f>
        <v>58218.674558286308</v>
      </c>
      <c r="F146" s="1509">
        <f>'Input data'!L126</f>
        <v>108755.744093683</v>
      </c>
      <c r="G146" s="1557">
        <f t="shared" si="128"/>
        <v>26007.089172093853</v>
      </c>
      <c r="H146" s="1509">
        <f t="shared" si="95"/>
        <v>54825.827981512746</v>
      </c>
      <c r="I146" s="1511">
        <f t="shared" si="98"/>
        <v>50537.06953539668</v>
      </c>
      <c r="J146" s="1454">
        <f t="shared" si="122"/>
        <v>0.2958608426446665</v>
      </c>
      <c r="K146" s="1512">
        <f t="shared" si="123"/>
        <v>11841.497632404236</v>
      </c>
      <c r="L146" s="1512">
        <f t="shared" si="99"/>
        <v>0</v>
      </c>
      <c r="M146" s="1511">
        <f t="shared" si="124"/>
        <v>11841.497632404236</v>
      </c>
      <c r="N146" s="1454">
        <f>($N$147-$N$142)/($A$107-$A$102)+N145</f>
        <v>0.5</v>
      </c>
      <c r="O146" s="530">
        <f t="shared" si="100"/>
        <v>751.91700000000026</v>
      </c>
      <c r="P146" s="1210">
        <f t="shared" si="127"/>
        <v>12593.414632404236</v>
      </c>
      <c r="Q146" s="1364">
        <f t="shared" si="101"/>
        <v>68239.502521202361</v>
      </c>
      <c r="R146" s="1364">
        <f t="shared" si="125"/>
        <v>42232.413349108509</v>
      </c>
      <c r="S146" s="1514">
        <f t="shared" si="102"/>
        <v>1.2933157037350294</v>
      </c>
      <c r="T146" s="135" t="str">
        <f t="shared" si="103"/>
        <v>No</v>
      </c>
      <c r="U146" s="1514">
        <f t="shared" si="104"/>
        <v>1</v>
      </c>
      <c r="V146" s="1539">
        <f t="shared" si="96"/>
        <v>76101.371130342755</v>
      </c>
      <c r="W146" s="1540">
        <f t="shared" si="97"/>
        <v>0.30025423701033693</v>
      </c>
      <c r="X146" s="527">
        <f t="shared" si="105"/>
        <v>35585.129557862114</v>
      </c>
      <c r="Y146" s="1509">
        <f t="shared" si="106"/>
        <v>19613.983219645612</v>
      </c>
      <c r="Z146" s="1509">
        <f t="shared" si="107"/>
        <v>3382.7896165508691</v>
      </c>
      <c r="AA146" s="1509">
        <f t="shared" si="108"/>
        <v>0</v>
      </c>
      <c r="AB146" s="1509">
        <f t="shared" si="109"/>
        <v>17519.468736284161</v>
      </c>
      <c r="AC146" s="1509">
        <f t="shared" si="110"/>
        <v>76101.371130342755</v>
      </c>
      <c r="AD146" s="1554">
        <f t="shared" si="111"/>
        <v>9578.0403857682613</v>
      </c>
      <c r="AE146" s="1504">
        <f t="shared" si="112"/>
        <v>0.46760168745072439</v>
      </c>
      <c r="AF146" s="1504">
        <f t="shared" si="113"/>
        <v>0.25773495179280975</v>
      </c>
      <c r="AG146" s="1504">
        <f t="shared" si="114"/>
        <v>4.4451099452032086E-2</v>
      </c>
      <c r="AH146" s="1504">
        <f t="shared" si="126"/>
        <v>0</v>
      </c>
      <c r="AI146" s="1504">
        <f t="shared" si="115"/>
        <v>0.23021226130443381</v>
      </c>
      <c r="AJ146" s="1541">
        <f t="shared" si="116"/>
        <v>1</v>
      </c>
      <c r="AK146" s="1555">
        <f t="shared" si="117"/>
        <v>35585.129557862114</v>
      </c>
      <c r="AL146" s="1556">
        <f t="shared" si="118"/>
        <v>0</v>
      </c>
      <c r="AM146" s="1556">
        <f t="shared" si="119"/>
        <v>0</v>
      </c>
      <c r="AN146" s="1556">
        <f t="shared" si="120"/>
        <v>35585.129557862114</v>
      </c>
      <c r="AO146" s="1543">
        <f t="shared" si="121"/>
        <v>0</v>
      </c>
      <c r="AV146" s="561"/>
      <c r="AW146" s="561"/>
    </row>
    <row r="147" spans="1:49">
      <c r="A147" s="127">
        <f>'Input data'!A127</f>
        <v>2027</v>
      </c>
      <c r="B147" s="1551">
        <f>'Input data'!B127</f>
        <v>64.045537563425796</v>
      </c>
      <c r="C147" s="1550">
        <f>'Input data'!C127</f>
        <v>4937.5264455117067</v>
      </c>
      <c r="D147" s="1511">
        <f>'Input data'!D127</f>
        <v>49329037.288601168</v>
      </c>
      <c r="E147" s="527">
        <f>'Input data'!J127*C147</f>
        <v>59403.605949548262</v>
      </c>
      <c r="F147" s="1509">
        <f>'Input data'!L127</f>
        <v>108732.64323814944</v>
      </c>
      <c r="G147" s="1557">
        <f>G137*(1-E5)</f>
        <v>23953.89792166539</v>
      </c>
      <c r="H147" s="1509">
        <f t="shared" si="95"/>
        <v>56425.260706794892</v>
      </c>
      <c r="I147" s="1511">
        <f t="shared" si="98"/>
        <v>49329.037288601168</v>
      </c>
      <c r="J147" s="1454">
        <f t="shared" si="122"/>
        <v>0.32189563198349985</v>
      </c>
      <c r="K147" s="1512">
        <f t="shared" si="123"/>
        <v>12842.710940961875</v>
      </c>
      <c r="L147" s="1512">
        <f t="shared" si="99"/>
        <v>0</v>
      </c>
      <c r="M147" s="1511">
        <f t="shared" si="124"/>
        <v>12842.710940961875</v>
      </c>
      <c r="N147" s="1454">
        <f>$C$27</f>
        <v>0.5</v>
      </c>
      <c r="O147" s="530">
        <f t="shared" si="100"/>
        <v>751.91700000000026</v>
      </c>
      <c r="P147" s="1210">
        <f t="shared" si="127"/>
        <v>13594.627940961875</v>
      </c>
      <c r="Q147" s="1364">
        <f t="shared" si="101"/>
        <v>66784.530687498409</v>
      </c>
      <c r="R147" s="1364">
        <f t="shared" si="125"/>
        <v>42830.632765833019</v>
      </c>
      <c r="S147" s="1514">
        <f t="shared" si="102"/>
        <v>1.2848819128964226</v>
      </c>
      <c r="T147" s="135" t="str">
        <f t="shared" si="103"/>
        <v>No</v>
      </c>
      <c r="U147" s="1514">
        <f t="shared" si="104"/>
        <v>1</v>
      </c>
      <c r="V147" s="1539">
        <f t="shared" si="96"/>
        <v>75398.348206100287</v>
      </c>
      <c r="W147" s="1540">
        <f t="shared" si="97"/>
        <v>0.3065711826671903</v>
      </c>
      <c r="X147" s="527">
        <f t="shared" si="105"/>
        <v>33450.235655449265</v>
      </c>
      <c r="Y147" s="1509">
        <f t="shared" si="106"/>
        <v>20635.731978531978</v>
      </c>
      <c r="Z147" s="1509">
        <f t="shared" si="107"/>
        <v>3436.3360700456424</v>
      </c>
      <c r="AA147" s="1509">
        <f t="shared" si="108"/>
        <v>0</v>
      </c>
      <c r="AB147" s="1509">
        <f t="shared" si="109"/>
        <v>17876.044502073404</v>
      </c>
      <c r="AC147" s="1509">
        <f t="shared" si="110"/>
        <v>75398.348206100287</v>
      </c>
      <c r="AD147" s="1554">
        <f t="shared" si="111"/>
        <v>9496.3377337838756</v>
      </c>
      <c r="AE147" s="1504">
        <f t="shared" si="112"/>
        <v>0.44364679666474299</v>
      </c>
      <c r="AF147" s="1504">
        <f t="shared" si="113"/>
        <v>0.27368944372792497</v>
      </c>
      <c r="AG147" s="1504">
        <f t="shared" si="114"/>
        <v>4.5575747371182029E-2</v>
      </c>
      <c r="AH147" s="1504">
        <f t="shared" si="126"/>
        <v>0</v>
      </c>
      <c r="AI147" s="1504">
        <f t="shared" si="115"/>
        <v>0.23708801223615</v>
      </c>
      <c r="AJ147" s="1541">
        <f t="shared" si="116"/>
        <v>1</v>
      </c>
      <c r="AK147" s="1555">
        <f t="shared" si="117"/>
        <v>33450.235655449258</v>
      </c>
      <c r="AL147" s="1556">
        <f t="shared" si="118"/>
        <v>0</v>
      </c>
      <c r="AM147" s="1556">
        <f t="shared" si="119"/>
        <v>0</v>
      </c>
      <c r="AN147" s="1556">
        <f t="shared" si="120"/>
        <v>33450.235655449258</v>
      </c>
      <c r="AO147" s="1543">
        <f t="shared" si="121"/>
        <v>0</v>
      </c>
      <c r="AV147" s="561"/>
      <c r="AW147" s="561"/>
    </row>
    <row r="148" spans="1:49">
      <c r="A148" s="127">
        <f>'Input data'!A128</f>
        <v>2028</v>
      </c>
      <c r="B148" s="1551">
        <f>'Input data'!B128</f>
        <v>64.676158618096451</v>
      </c>
      <c r="C148" s="1550">
        <f>'Input data'!C128</f>
        <v>5030.8888370380655</v>
      </c>
      <c r="D148" s="1511">
        <f>'Input data'!D128</f>
        <v>48528826.860263921</v>
      </c>
      <c r="E148" s="527">
        <f>'Input data'!J128*C148</f>
        <v>60526.853141830288</v>
      </c>
      <c r="F148" s="1509">
        <f>'Input data'!L128</f>
        <v>109055.68000209422</v>
      </c>
      <c r="G148" s="1557">
        <f>($G$152-$G$147)/($A$152-$A$147)+G147</f>
        <v>21900.706671236927</v>
      </c>
      <c r="H148" s="1509">
        <f t="shared" si="95"/>
        <v>58372.019907309354</v>
      </c>
      <c r="I148" s="1511">
        <f t="shared" si="98"/>
        <v>48528.826860263922</v>
      </c>
      <c r="J148" s="1454">
        <f t="shared" si="122"/>
        <v>0.34793042132233321</v>
      </c>
      <c r="K148" s="1512">
        <f t="shared" si="123"/>
        <v>13897.815625844583</v>
      </c>
      <c r="L148" s="1512">
        <f t="shared" si="99"/>
        <v>0</v>
      </c>
      <c r="M148" s="1511">
        <f t="shared" si="124"/>
        <v>13897.815625844583</v>
      </c>
      <c r="N148" s="1454">
        <f>N147</f>
        <v>0.5</v>
      </c>
      <c r="O148" s="530">
        <f t="shared" si="100"/>
        <v>751.91700000000026</v>
      </c>
      <c r="P148" s="1210">
        <f t="shared" si="127"/>
        <v>14649.732625844583</v>
      </c>
      <c r="Q148" s="1364">
        <f t="shared" si="101"/>
        <v>65622.993952701698</v>
      </c>
      <c r="R148" s="1364">
        <f t="shared" si="125"/>
        <v>43722.287281464771</v>
      </c>
      <c r="S148" s="1514">
        <f t="shared" si="102"/>
        <v>1.2867511103341922</v>
      </c>
      <c r="T148" s="135" t="str">
        <f t="shared" si="103"/>
        <v>No</v>
      </c>
      <c r="U148" s="1514">
        <f t="shared" si="104"/>
        <v>1</v>
      </c>
      <c r="V148" s="1539">
        <f t="shared" si="96"/>
        <v>75076.857733886267</v>
      </c>
      <c r="W148" s="1540">
        <f t="shared" si="97"/>
        <v>0.31157315481005166</v>
      </c>
      <c r="X148" s="527">
        <f t="shared" si="105"/>
        <v>31644.171684493736</v>
      </c>
      <c r="Y148" s="1509">
        <f t="shared" si="106"/>
        <v>21731.533068423185</v>
      </c>
      <c r="Z148" s="1509">
        <f t="shared" si="107"/>
        <v>3487.0950456185724</v>
      </c>
      <c r="AA148" s="1509">
        <f t="shared" si="108"/>
        <v>0</v>
      </c>
      <c r="AB148" s="1509">
        <f t="shared" si="109"/>
        <v>18214.057935350767</v>
      </c>
      <c r="AC148" s="1509">
        <f t="shared" si="110"/>
        <v>75076.857733886267</v>
      </c>
      <c r="AD148" s="1554">
        <f t="shared" si="111"/>
        <v>9743.4650132568095</v>
      </c>
      <c r="AE148" s="1504">
        <f t="shared" si="112"/>
        <v>0.42149035854241673</v>
      </c>
      <c r="AF148" s="1504">
        <f t="shared" si="113"/>
        <v>0.28945714730698646</v>
      </c>
      <c r="AG148" s="1504">
        <f t="shared" si="114"/>
        <v>4.6447003122836568E-2</v>
      </c>
      <c r="AH148" s="1504">
        <f t="shared" si="126"/>
        <v>0</v>
      </c>
      <c r="AI148" s="1504">
        <f t="shared" si="115"/>
        <v>0.24260549102776011</v>
      </c>
      <c r="AJ148" s="1541">
        <f t="shared" si="116"/>
        <v>0.99999999999999989</v>
      </c>
      <c r="AK148" s="1555">
        <f t="shared" si="117"/>
        <v>31644.17168449374</v>
      </c>
      <c r="AL148" s="1556">
        <f t="shared" si="118"/>
        <v>0</v>
      </c>
      <c r="AM148" s="1556">
        <f t="shared" si="119"/>
        <v>0</v>
      </c>
      <c r="AN148" s="1556">
        <f t="shared" si="120"/>
        <v>31644.17168449374</v>
      </c>
      <c r="AO148" s="1543">
        <f t="shared" si="121"/>
        <v>0</v>
      </c>
      <c r="AV148" s="561"/>
      <c r="AW148" s="561"/>
    </row>
    <row r="149" spans="1:49">
      <c r="A149" s="127">
        <f>'Input data'!A129</f>
        <v>2029</v>
      </c>
      <c r="B149" s="1551">
        <f>'Input data'!B129</f>
        <v>65.31298905018393</v>
      </c>
      <c r="C149" s="1550">
        <f>'Input data'!C129</f>
        <v>5147.1070268118992</v>
      </c>
      <c r="D149" s="1511">
        <f>'Input data'!D129</f>
        <v>46965110.037548423</v>
      </c>
      <c r="E149" s="527">
        <f>'Input data'!J129*C149</f>
        <v>61925.079485664915</v>
      </c>
      <c r="F149" s="1509">
        <f>'Input data'!L129</f>
        <v>108890.18952321334</v>
      </c>
      <c r="G149" s="1557">
        <f t="shared" ref="G149:G151" si="129">($G$152-$G$147)/($A$152-$A$147)+G148</f>
        <v>19847.515420808464</v>
      </c>
      <c r="H149" s="1509">
        <f t="shared" si="95"/>
        <v>59760.049800363275</v>
      </c>
      <c r="I149" s="1511">
        <f t="shared" si="98"/>
        <v>46965.110037548424</v>
      </c>
      <c r="J149" s="1454">
        <f t="shared" si="122"/>
        <v>0.37396521066116656</v>
      </c>
      <c r="K149" s="1512">
        <f t="shared" si="123"/>
        <v>14672.72095323242</v>
      </c>
      <c r="L149" s="1512">
        <f t="shared" si="99"/>
        <v>0</v>
      </c>
      <c r="M149" s="1511">
        <f t="shared" si="124"/>
        <v>14672.72095323242</v>
      </c>
      <c r="N149" s="1454">
        <f t="shared" ref="N149:N170" si="130">N148</f>
        <v>0.5</v>
      </c>
      <c r="O149" s="530">
        <f t="shared" si="100"/>
        <v>751.91700000000026</v>
      </c>
      <c r="P149" s="1210">
        <f t="shared" si="127"/>
        <v>15424.637953232419</v>
      </c>
      <c r="Q149" s="1364">
        <f t="shared" si="101"/>
        <v>64182.927267939318</v>
      </c>
      <c r="R149" s="1364">
        <f t="shared" si="125"/>
        <v>44335.411847130854</v>
      </c>
      <c r="S149" s="1514">
        <f t="shared" si="102"/>
        <v>1.2746971162776046</v>
      </c>
      <c r="T149" s="135" t="str">
        <f t="shared" si="103"/>
        <v>No</v>
      </c>
      <c r="U149" s="1514">
        <f t="shared" si="104"/>
        <v>1</v>
      </c>
      <c r="V149" s="1539">
        <f t="shared" si="96"/>
        <v>74109.055023905777</v>
      </c>
      <c r="W149" s="1540">
        <f t="shared" si="97"/>
        <v>0.31941476685457393</v>
      </c>
      <c r="X149" s="527">
        <f t="shared" si="105"/>
        <v>29401.792768631756</v>
      </c>
      <c r="Y149" s="1509">
        <f t="shared" si="106"/>
        <v>22522.162528169356</v>
      </c>
      <c r="Z149" s="1509">
        <f t="shared" si="107"/>
        <v>3550.2801907226872</v>
      </c>
      <c r="AA149" s="1509">
        <f t="shared" si="108"/>
        <v>0</v>
      </c>
      <c r="AB149" s="1509">
        <f t="shared" si="109"/>
        <v>18634.81953638198</v>
      </c>
      <c r="AC149" s="1509">
        <f t="shared" si="110"/>
        <v>74109.055023905777</v>
      </c>
      <c r="AD149" s="1554">
        <f t="shared" si="111"/>
        <v>9554.2773478232921</v>
      </c>
      <c r="AE149" s="1504">
        <f t="shared" si="112"/>
        <v>0.39673684624837618</v>
      </c>
      <c r="AF149" s="1504">
        <f t="shared" si="113"/>
        <v>0.30390567685560493</v>
      </c>
      <c r="AG149" s="1504">
        <f t="shared" si="114"/>
        <v>4.7906159234893136E-2</v>
      </c>
      <c r="AH149" s="1504">
        <f t="shared" si="126"/>
        <v>0</v>
      </c>
      <c r="AI149" s="1504">
        <f t="shared" si="115"/>
        <v>0.25145131766112577</v>
      </c>
      <c r="AJ149" s="1541">
        <f t="shared" si="116"/>
        <v>1</v>
      </c>
      <c r="AK149" s="1555">
        <f t="shared" si="117"/>
        <v>29401.792768631756</v>
      </c>
      <c r="AL149" s="1556">
        <f t="shared" si="118"/>
        <v>0</v>
      </c>
      <c r="AM149" s="1556">
        <f t="shared" si="119"/>
        <v>0</v>
      </c>
      <c r="AN149" s="1556">
        <f t="shared" si="120"/>
        <v>29401.792768631756</v>
      </c>
      <c r="AO149" s="1543">
        <f t="shared" si="121"/>
        <v>0</v>
      </c>
      <c r="AV149" s="561"/>
      <c r="AW149" s="561"/>
    </row>
    <row r="150" spans="1:49">
      <c r="A150" s="127">
        <f>'Input data'!A130</f>
        <v>2030</v>
      </c>
      <c r="B150" s="1551">
        <f>'Input data'!B130</f>
        <v>65.956090000000003</v>
      </c>
      <c r="C150" s="1550">
        <f>'Input data'!C130</f>
        <v>5262.1824199605107</v>
      </c>
      <c r="D150" s="1511">
        <f>'Input data'!D130</f>
        <v>45521353.842330128</v>
      </c>
      <c r="E150" s="527">
        <f>'Input data'!J130*C150</f>
        <v>63309.556791159332</v>
      </c>
      <c r="F150" s="1509">
        <f>'Input data'!L130</f>
        <v>108830.91063348946</v>
      </c>
      <c r="G150" s="1557">
        <f t="shared" si="129"/>
        <v>17794.324170380001</v>
      </c>
      <c r="H150" s="1509">
        <f t="shared" si="95"/>
        <v>61252.767719482319</v>
      </c>
      <c r="I150" s="1511">
        <f t="shared" si="98"/>
        <v>45521.353842330129</v>
      </c>
      <c r="J150" s="1454">
        <f>$H$19</f>
        <v>0.4</v>
      </c>
      <c r="K150" s="1512">
        <f t="shared" si="123"/>
        <v>15406.805150146254</v>
      </c>
      <c r="L150" s="1512">
        <f t="shared" si="99"/>
        <v>0</v>
      </c>
      <c r="M150" s="1511">
        <f t="shared" si="124"/>
        <v>15406.805150146254</v>
      </c>
      <c r="N150" s="1454">
        <f t="shared" si="130"/>
        <v>0.5</v>
      </c>
      <c r="O150" s="530">
        <f t="shared" si="100"/>
        <v>751.91700000000026</v>
      </c>
      <c r="P150" s="1210">
        <f t="shared" si="127"/>
        <v>16158.722150146254</v>
      </c>
      <c r="Q150" s="1364">
        <f t="shared" si="101"/>
        <v>62888.369739716065</v>
      </c>
      <c r="R150" s="1364">
        <f t="shared" si="125"/>
        <v>45094.045569336064</v>
      </c>
      <c r="S150" s="1514">
        <f t="shared" si="102"/>
        <v>1.2675569638674462</v>
      </c>
      <c r="T150" s="135" t="str">
        <f t="shared" si="103"/>
        <v>No</v>
      </c>
      <c r="U150" s="1514">
        <f t="shared" si="104"/>
        <v>1</v>
      </c>
      <c r="V150" s="1539">
        <f t="shared" si="96"/>
        <v>73255.353199171484</v>
      </c>
      <c r="W150" s="1540">
        <f t="shared" si="97"/>
        <v>0.3268883557735357</v>
      </c>
      <c r="X150" s="527">
        <f t="shared" si="105"/>
        <v>27312.812305398078</v>
      </c>
      <c r="Y150" s="1509">
        <f t="shared" si="106"/>
        <v>23278.253165350783</v>
      </c>
      <c r="Z150" s="1509">
        <f t="shared" si="107"/>
        <v>3612.8440237006225</v>
      </c>
      <c r="AA150" s="1509">
        <f t="shared" si="108"/>
        <v>0</v>
      </c>
      <c r="AB150" s="1509">
        <f t="shared" si="109"/>
        <v>19051.443704722002</v>
      </c>
      <c r="AC150" s="1509">
        <f t="shared" si="110"/>
        <v>73255.353199171484</v>
      </c>
      <c r="AD150" s="1554">
        <f t="shared" si="111"/>
        <v>9518.4881350180767</v>
      </c>
      <c r="AE150" s="1504">
        <f t="shared" si="112"/>
        <v>0.3728439098660572</v>
      </c>
      <c r="AF150" s="1504">
        <f t="shared" si="113"/>
        <v>0.31776862916844223</v>
      </c>
      <c r="AG150" s="1504">
        <f t="shared" si="114"/>
        <v>4.9318498456730989E-2</v>
      </c>
      <c r="AH150" s="1504">
        <f t="shared" si="126"/>
        <v>0</v>
      </c>
      <c r="AI150" s="1504">
        <f t="shared" si="115"/>
        <v>0.2600689625087696</v>
      </c>
      <c r="AJ150" s="1541">
        <f t="shared" si="116"/>
        <v>1</v>
      </c>
      <c r="AK150" s="1555">
        <f t="shared" si="117"/>
        <v>27312.812305398074</v>
      </c>
      <c r="AL150" s="1556">
        <f t="shared" si="118"/>
        <v>0</v>
      </c>
      <c r="AM150" s="1556">
        <f t="shared" si="119"/>
        <v>0</v>
      </c>
      <c r="AN150" s="1556">
        <f t="shared" si="120"/>
        <v>27312.812305398074</v>
      </c>
      <c r="AO150" s="1543">
        <f t="shared" si="121"/>
        <v>0</v>
      </c>
      <c r="AV150" s="561"/>
      <c r="AW150" s="561"/>
    </row>
    <row r="151" spans="1:49">
      <c r="A151" s="127">
        <f>'Input data'!A131</f>
        <v>2031</v>
      </c>
      <c r="B151" s="1551">
        <f>'Input data'!B131</f>
        <v>66.518977190687664</v>
      </c>
      <c r="C151" s="1550">
        <f>'Input data'!C131</f>
        <v>5387.7672265735409</v>
      </c>
      <c r="D151" s="1511">
        <f>'Input data'!D131</f>
        <v>44085520.531554446</v>
      </c>
      <c r="E151" s="527">
        <f>'Input data'!J131*C151</f>
        <v>64820.473329555214</v>
      </c>
      <c r="F151" s="1509">
        <f>'Input data'!L131</f>
        <v>108905.99386110966</v>
      </c>
      <c r="G151" s="1557">
        <f t="shared" si="129"/>
        <v>15741.132919951538</v>
      </c>
      <c r="H151" s="1509">
        <f t="shared" si="95"/>
        <v>62825.472619476619</v>
      </c>
      <c r="I151" s="1511">
        <f t="shared" si="98"/>
        <v>44085.520531554444</v>
      </c>
      <c r="J151" s="1454">
        <f>J150</f>
        <v>0.4</v>
      </c>
      <c r="K151" s="1512">
        <f t="shared" si="123"/>
        <v>14920.844119113835</v>
      </c>
      <c r="L151" s="1512">
        <f t="shared" si="99"/>
        <v>0</v>
      </c>
      <c r="M151" s="1511">
        <f t="shared" si="124"/>
        <v>14920.844119113835</v>
      </c>
      <c r="N151" s="1454">
        <f t="shared" si="130"/>
        <v>0.5</v>
      </c>
      <c r="O151" s="530">
        <f t="shared" si="100"/>
        <v>751.91700000000026</v>
      </c>
      <c r="P151" s="1210">
        <f t="shared" si="127"/>
        <v>15672.761119113835</v>
      </c>
      <c r="Q151" s="1364">
        <f t="shared" si="101"/>
        <v>62893.844420314323</v>
      </c>
      <c r="R151" s="1364">
        <f t="shared" si="125"/>
        <v>47152.711500362784</v>
      </c>
      <c r="S151" s="1514">
        <f t="shared" si="102"/>
        <v>1.2938922951123659</v>
      </c>
      <c r="T151" s="135" t="str">
        <f t="shared" si="103"/>
        <v>No</v>
      </c>
      <c r="U151" s="1514">
        <f t="shared" si="104"/>
        <v>1</v>
      </c>
      <c r="V151" s="1539">
        <f t="shared" si="96"/>
        <v>72463.461759728001</v>
      </c>
      <c r="W151" s="1540">
        <f t="shared" si="97"/>
        <v>0.33462375034984448</v>
      </c>
      <c r="X151" s="527">
        <f t="shared" si="105"/>
        <v>26451.312318932665</v>
      </c>
      <c r="Y151" s="1509">
        <f t="shared" si="106"/>
        <v>22824.911228952824</v>
      </c>
      <c r="Z151" s="1509">
        <f t="shared" si="107"/>
        <v>3681.1215820084799</v>
      </c>
      <c r="AA151" s="1509">
        <f t="shared" si="108"/>
        <v>0</v>
      </c>
      <c r="AB151" s="1509">
        <f t="shared" si="109"/>
        <v>19506.116629834032</v>
      </c>
      <c r="AC151" s="1509">
        <f t="shared" si="110"/>
        <v>72463.461759728001</v>
      </c>
      <c r="AD151" s="1554">
        <f t="shared" si="111"/>
        <v>10710.179398981127</v>
      </c>
      <c r="AE151" s="1504">
        <f t="shared" si="112"/>
        <v>0.36502965324288633</v>
      </c>
      <c r="AF151" s="1504">
        <f t="shared" si="113"/>
        <v>0.31498510662704637</v>
      </c>
      <c r="AG151" s="1504">
        <f t="shared" si="114"/>
        <v>5.0799692598377695E-2</v>
      </c>
      <c r="AH151" s="1504">
        <f t="shared" si="126"/>
        <v>0</v>
      </c>
      <c r="AI151" s="1504">
        <f t="shared" si="115"/>
        <v>0.26918554753168961</v>
      </c>
      <c r="AJ151" s="1541">
        <f t="shared" si="116"/>
        <v>1</v>
      </c>
      <c r="AK151" s="1555">
        <f t="shared" si="117"/>
        <v>26451.312318932665</v>
      </c>
      <c r="AL151" s="1556">
        <f t="shared" si="118"/>
        <v>0</v>
      </c>
      <c r="AM151" s="1556">
        <f t="shared" si="119"/>
        <v>0</v>
      </c>
      <c r="AN151" s="1556">
        <f t="shared" si="120"/>
        <v>26451.312318932665</v>
      </c>
      <c r="AO151" s="1543">
        <f t="shared" si="121"/>
        <v>0</v>
      </c>
      <c r="AV151" s="561"/>
      <c r="AW151" s="561"/>
    </row>
    <row r="152" spans="1:49">
      <c r="A152" s="127">
        <f>'Input data'!A132</f>
        <v>2032</v>
      </c>
      <c r="B152" s="1551">
        <f>'Input data'!B132</f>
        <v>67.08666821358311</v>
      </c>
      <c r="C152" s="1550">
        <f>'Input data'!C132</f>
        <v>5535.3993263804541</v>
      </c>
      <c r="D152" s="1511">
        <f>'Input data'!D132</f>
        <v>41932973.31689404</v>
      </c>
      <c r="E152" s="527">
        <f>'Input data'!J132*C152</f>
        <v>66596.641858314426</v>
      </c>
      <c r="F152" s="1509">
        <f>'Input data'!L132</f>
        <v>108529.61517520846</v>
      </c>
      <c r="G152" s="1557">
        <f>G137*(1-E6)</f>
        <v>13687.941669523079</v>
      </c>
      <c r="H152" s="1509">
        <f t="shared" si="95"/>
        <v>63877.77921618559</v>
      </c>
      <c r="I152" s="1511">
        <f t="shared" si="98"/>
        <v>41932.973316894037</v>
      </c>
      <c r="J152" s="1454">
        <f t="shared" ref="J152:J170" si="131">J151</f>
        <v>0.4</v>
      </c>
      <c r="K152" s="1512">
        <f t="shared" si="123"/>
        <v>14192.309646531345</v>
      </c>
      <c r="L152" s="1512">
        <f t="shared" si="99"/>
        <v>0</v>
      </c>
      <c r="M152" s="1511">
        <f t="shared" si="124"/>
        <v>14192.309646531345</v>
      </c>
      <c r="N152" s="1454">
        <f t="shared" si="130"/>
        <v>0.5</v>
      </c>
      <c r="O152" s="530">
        <f t="shared" si="100"/>
        <v>751.91700000000026</v>
      </c>
      <c r="P152" s="1210">
        <f t="shared" si="127"/>
        <v>14944.226646531344</v>
      </c>
      <c r="Q152" s="1364">
        <f t="shared" si="101"/>
        <v>62621.494239177322</v>
      </c>
      <c r="R152" s="1364">
        <f t="shared" si="125"/>
        <v>48933.552569654246</v>
      </c>
      <c r="S152" s="1514">
        <f t="shared" si="102"/>
        <v>1.3062284728686953</v>
      </c>
      <c r="T152" s="135" t="str">
        <f t="shared" si="103"/>
        <v>No</v>
      </c>
      <c r="U152" s="1514">
        <f t="shared" si="104"/>
        <v>1</v>
      </c>
      <c r="V152" s="1539">
        <f t="shared" si="96"/>
        <v>71067.904926167583</v>
      </c>
      <c r="W152" s="1540">
        <f t="shared" si="97"/>
        <v>0.34517500304929016</v>
      </c>
      <c r="X152" s="527">
        <f t="shared" si="105"/>
        <v>25159.78399013642</v>
      </c>
      <c r="Y152" s="1509">
        <f t="shared" si="106"/>
        <v>22106.124617340491</v>
      </c>
      <c r="Z152" s="1509">
        <f t="shared" si="107"/>
        <v>3761.3857443265993</v>
      </c>
      <c r="AA152" s="1509">
        <f t="shared" si="108"/>
        <v>0</v>
      </c>
      <c r="AB152" s="1509">
        <f t="shared" si="109"/>
        <v>20040.610574364066</v>
      </c>
      <c r="AC152" s="1509">
        <f t="shared" si="110"/>
        <v>71067.904926167583</v>
      </c>
      <c r="AD152" s="1554">
        <f t="shared" si="111"/>
        <v>11471.842320613341</v>
      </c>
      <c r="AE152" s="1504">
        <f t="shared" si="112"/>
        <v>0.35402456307491981</v>
      </c>
      <c r="AF152" s="1504">
        <f t="shared" si="113"/>
        <v>0.31105637123124052</v>
      </c>
      <c r="AG152" s="1504">
        <f t="shared" si="114"/>
        <v>5.2926644569504355E-2</v>
      </c>
      <c r="AH152" s="1504">
        <f t="shared" si="126"/>
        <v>0</v>
      </c>
      <c r="AI152" s="1504">
        <f t="shared" si="115"/>
        <v>0.2819924211243352</v>
      </c>
      <c r="AJ152" s="1541">
        <f t="shared" si="116"/>
        <v>0.99999999999999989</v>
      </c>
      <c r="AK152" s="1555">
        <f t="shared" si="117"/>
        <v>25159.78399013642</v>
      </c>
      <c r="AL152" s="1556">
        <f t="shared" si="118"/>
        <v>0</v>
      </c>
      <c r="AM152" s="1556">
        <f t="shared" si="119"/>
        <v>0</v>
      </c>
      <c r="AN152" s="1556">
        <f t="shared" si="120"/>
        <v>25159.78399013642</v>
      </c>
      <c r="AO152" s="1543">
        <f t="shared" si="121"/>
        <v>0</v>
      </c>
      <c r="AV152" s="561"/>
      <c r="AW152" s="561"/>
    </row>
    <row r="153" spans="1:49">
      <c r="A153" s="127">
        <f>'Input data'!A133</f>
        <v>2033</v>
      </c>
      <c r="B153" s="1551">
        <f>'Input data'!B133</f>
        <v>67.659204065895452</v>
      </c>
      <c r="C153" s="1550">
        <f>'Input data'!C133</f>
        <v>5694.7516404688276</v>
      </c>
      <c r="D153" s="1511">
        <f>'Input data'!D133</f>
        <v>41056214.022582531</v>
      </c>
      <c r="E153" s="527">
        <f>'Input data'!J133*C153</f>
        <v>68513.816819849919</v>
      </c>
      <c r="F153" s="1509">
        <f>'Input data'!L133</f>
        <v>109570.03084243245</v>
      </c>
      <c r="G153" s="1557">
        <f>G152</f>
        <v>13687.941669523079</v>
      </c>
      <c r="H153" s="1509">
        <f t="shared" si="95"/>
        <v>64155.071116446576</v>
      </c>
      <c r="I153" s="1511">
        <f t="shared" si="98"/>
        <v>41056.214022582528</v>
      </c>
      <c r="J153" s="1454">
        <f t="shared" si="131"/>
        <v>0.4</v>
      </c>
      <c r="K153" s="1512">
        <f t="shared" si="123"/>
        <v>13895.568480663906</v>
      </c>
      <c r="L153" s="1512">
        <f t="shared" si="99"/>
        <v>0</v>
      </c>
      <c r="M153" s="1511">
        <f t="shared" si="124"/>
        <v>13895.568480663906</v>
      </c>
      <c r="N153" s="1454">
        <f t="shared" si="130"/>
        <v>0.5</v>
      </c>
      <c r="O153" s="530">
        <f t="shared" si="100"/>
        <v>751.91700000000026</v>
      </c>
      <c r="P153" s="1210">
        <f t="shared" si="127"/>
        <v>14647.485480663905</v>
      </c>
      <c r="Q153" s="1364">
        <f t="shared" si="101"/>
        <v>63195.527305305746</v>
      </c>
      <c r="R153" s="1364">
        <f t="shared" si="125"/>
        <v>49507.585635782671</v>
      </c>
      <c r="S153" s="1514">
        <f t="shared" si="102"/>
        <v>1.283850521982947</v>
      </c>
      <c r="T153" s="135" t="str">
        <f t="shared" si="103"/>
        <v>No</v>
      </c>
      <c r="U153" s="1514">
        <f t="shared" si="104"/>
        <v>1</v>
      </c>
      <c r="V153" s="1539">
        <f t="shared" si="96"/>
        <v>71008.231950676243</v>
      </c>
      <c r="W153" s="1540">
        <f t="shared" si="97"/>
        <v>0.35193746497352119</v>
      </c>
      <c r="X153" s="527">
        <f t="shared" si="105"/>
        <v>24633.728413549517</v>
      </c>
      <c r="Y153" s="1509">
        <f t="shared" si="106"/>
        <v>21908.944706902541</v>
      </c>
      <c r="Z153" s="1509">
        <f t="shared" si="107"/>
        <v>3848.0219164089949</v>
      </c>
      <c r="AA153" s="1509">
        <f t="shared" si="108"/>
        <v>0</v>
      </c>
      <c r="AB153" s="1509">
        <f t="shared" si="109"/>
        <v>20617.53691381518</v>
      </c>
      <c r="AC153" s="1509">
        <f t="shared" si="110"/>
        <v>71008.231950676243</v>
      </c>
      <c r="AD153" s="1554">
        <f t="shared" si="111"/>
        <v>10945.786744026438</v>
      </c>
      <c r="AE153" s="1504">
        <f t="shared" si="112"/>
        <v>0.3469136991139366</v>
      </c>
      <c r="AF153" s="1504">
        <f t="shared" si="113"/>
        <v>0.30854091286374991</v>
      </c>
      <c r="AG153" s="1504">
        <f t="shared" si="114"/>
        <v>5.4191208690872752E-2</v>
      </c>
      <c r="AH153" s="1504">
        <f t="shared" si="126"/>
        <v>0</v>
      </c>
      <c r="AI153" s="1504">
        <f t="shared" si="115"/>
        <v>0.29035417933144059</v>
      </c>
      <c r="AJ153" s="1541">
        <f t="shared" si="116"/>
        <v>0.99999999999999989</v>
      </c>
      <c r="AK153" s="1555">
        <f t="shared" si="117"/>
        <v>24633.728413549521</v>
      </c>
      <c r="AL153" s="1556">
        <f t="shared" si="118"/>
        <v>0</v>
      </c>
      <c r="AM153" s="1556">
        <f t="shared" si="119"/>
        <v>0</v>
      </c>
      <c r="AN153" s="1556">
        <f t="shared" si="120"/>
        <v>24633.728413549521</v>
      </c>
      <c r="AO153" s="1543">
        <f t="shared" si="121"/>
        <v>0</v>
      </c>
      <c r="AV153" s="561"/>
      <c r="AW153" s="561"/>
    </row>
    <row r="154" spans="1:49">
      <c r="A154" s="127">
        <f>'Input data'!A134</f>
        <v>2034</v>
      </c>
      <c r="B154" s="1551">
        <f>'Input data'!B134</f>
        <v>68.236626094715163</v>
      </c>
      <c r="C154" s="1550">
        <f>'Input data'!C134</f>
        <v>5880.7243334969316</v>
      </c>
      <c r="D154" s="1511">
        <f>'Input data'!D134</f>
        <v>40488564.369250603</v>
      </c>
      <c r="E154" s="527">
        <f>'Input data'!J134*C154</f>
        <v>70751.262775012379</v>
      </c>
      <c r="F154" s="1509">
        <f>'Input data'!L134</f>
        <v>111239.82714426299</v>
      </c>
      <c r="G154" s="1557">
        <f t="shared" ref="G154:G170" si="132">G153</f>
        <v>13687.941669523079</v>
      </c>
      <c r="H154" s="1509">
        <f t="shared" si="95"/>
        <v>64906.221434696068</v>
      </c>
      <c r="I154" s="1511">
        <f t="shared" si="98"/>
        <v>40488.564369250606</v>
      </c>
      <c r="J154" s="1454">
        <f t="shared" si="131"/>
        <v>0.4</v>
      </c>
      <c r="K154" s="1512">
        <f t="shared" si="123"/>
        <v>13703.446171808049</v>
      </c>
      <c r="L154" s="1512">
        <f t="shared" si="99"/>
        <v>0</v>
      </c>
      <c r="M154" s="1511">
        <f t="shared" si="124"/>
        <v>13703.446171808049</v>
      </c>
      <c r="N154" s="1454">
        <f t="shared" si="130"/>
        <v>0.5</v>
      </c>
      <c r="O154" s="530">
        <f t="shared" si="100"/>
        <v>751.91700000000026</v>
      </c>
      <c r="P154" s="1210">
        <f t="shared" si="127"/>
        <v>14455.363171808049</v>
      </c>
      <c r="Q154" s="1364">
        <f t="shared" si="101"/>
        <v>64138.799932411093</v>
      </c>
      <c r="R154" s="1364">
        <f t="shared" si="125"/>
        <v>50450.85826288801</v>
      </c>
      <c r="S154" s="1514">
        <f t="shared" si="102"/>
        <v>1.2661568814052191</v>
      </c>
      <c r="T154" s="135" t="str">
        <f t="shared" si="103"/>
        <v>No</v>
      </c>
      <c r="U154" s="1514">
        <f t="shared" si="104"/>
        <v>1</v>
      </c>
      <c r="V154" s="1539">
        <f t="shared" si="96"/>
        <v>71394.16583340225</v>
      </c>
      <c r="W154" s="1540">
        <f t="shared" si="97"/>
        <v>0.35819600168190047</v>
      </c>
      <c r="X154" s="527">
        <f t="shared" si="105"/>
        <v>24293.138621550363</v>
      </c>
      <c r="Y154" s="1509">
        <f t="shared" si="106"/>
        <v>21861.055358708316</v>
      </c>
      <c r="Z154" s="1509">
        <f t="shared" si="107"/>
        <v>3949.1309735819841</v>
      </c>
      <c r="AA154" s="1509">
        <f t="shared" si="108"/>
        <v>0</v>
      </c>
      <c r="AB154" s="1509">
        <f t="shared" si="109"/>
        <v>21290.840879561598</v>
      </c>
      <c r="AC154" s="1509">
        <f t="shared" si="110"/>
        <v>71394.16583340225</v>
      </c>
      <c r="AD154" s="1554">
        <f t="shared" si="111"/>
        <v>10605.196952027283</v>
      </c>
      <c r="AE154" s="1504">
        <f t="shared" si="112"/>
        <v>0.34026784034760232</v>
      </c>
      <c r="AF154" s="1504">
        <f t="shared" si="113"/>
        <v>0.30620226601877981</v>
      </c>
      <c r="AG154" s="1504">
        <f t="shared" si="114"/>
        <v>5.5314477415385054E-2</v>
      </c>
      <c r="AH154" s="1504">
        <f t="shared" si="126"/>
        <v>0</v>
      </c>
      <c r="AI154" s="1504">
        <f t="shared" si="115"/>
        <v>0.29821541621823294</v>
      </c>
      <c r="AJ154" s="1541">
        <f t="shared" si="116"/>
        <v>1.0000000000000002</v>
      </c>
      <c r="AK154" s="1555">
        <f t="shared" si="117"/>
        <v>24293.138621550359</v>
      </c>
      <c r="AL154" s="1556">
        <f t="shared" si="118"/>
        <v>0</v>
      </c>
      <c r="AM154" s="1556">
        <f t="shared" si="119"/>
        <v>0</v>
      </c>
      <c r="AN154" s="1556">
        <f t="shared" si="120"/>
        <v>24293.138621550359</v>
      </c>
      <c r="AO154" s="1543">
        <f t="shared" si="121"/>
        <v>0</v>
      </c>
      <c r="AV154" s="561"/>
      <c r="AW154" s="561"/>
    </row>
    <row r="155" spans="1:49">
      <c r="A155" s="127">
        <f>'Input data'!A135</f>
        <v>2035</v>
      </c>
      <c r="B155" s="1551">
        <f>'Input data'!B135</f>
        <v>68.818976000000006</v>
      </c>
      <c r="C155" s="1550">
        <f>'Input data'!C135</f>
        <v>6030.7021264561972</v>
      </c>
      <c r="D155" s="1511">
        <f>'Input data'!D135</f>
        <v>31941700.142198853</v>
      </c>
      <c r="E155" s="527">
        <f>'Input data'!J135*C155</f>
        <v>72555.652445114043</v>
      </c>
      <c r="F155" s="1509">
        <f>'Input data'!L135</f>
        <v>104497.3525873129</v>
      </c>
      <c r="G155" s="1557">
        <f t="shared" si="132"/>
        <v>13687.941669523079</v>
      </c>
      <c r="H155" s="1509">
        <f t="shared" si="95"/>
        <v>57920.769012387973</v>
      </c>
      <c r="I155" s="1511">
        <f t="shared" si="98"/>
        <v>31941.700142198853</v>
      </c>
      <c r="J155" s="1454">
        <f t="shared" si="131"/>
        <v>0.4</v>
      </c>
      <c r="K155" s="1512">
        <f t="shared" si="123"/>
        <v>10810.740646242306</v>
      </c>
      <c r="L155" s="1512">
        <f t="shared" si="99"/>
        <v>0</v>
      </c>
      <c r="M155" s="1511">
        <f t="shared" si="124"/>
        <v>10810.740646242306</v>
      </c>
      <c r="N155" s="1454">
        <f t="shared" si="130"/>
        <v>0.5</v>
      </c>
      <c r="O155" s="530">
        <f t="shared" si="100"/>
        <v>751.91700000000026</v>
      </c>
      <c r="P155" s="1210">
        <f t="shared" si="127"/>
        <v>11562.657646242305</v>
      </c>
      <c r="Q155" s="1364">
        <f t="shared" si="101"/>
        <v>60046.053035668745</v>
      </c>
      <c r="R155" s="1364">
        <f t="shared" si="125"/>
        <v>46358.111366145662</v>
      </c>
      <c r="S155" s="1514">
        <f t="shared" si="102"/>
        <v>1.1339760280139746</v>
      </c>
      <c r="T155" s="135" t="str">
        <f t="shared" si="103"/>
        <v>No</v>
      </c>
      <c r="U155" s="1514">
        <f t="shared" si="104"/>
        <v>1</v>
      </c>
      <c r="V155" s="1539">
        <f t="shared" si="96"/>
        <v>63616.319636963475</v>
      </c>
      <c r="W155" s="1540">
        <f t="shared" si="97"/>
        <v>0.39121596804274272</v>
      </c>
      <c r="X155" s="527">
        <f t="shared" si="105"/>
        <v>19165.020085319313</v>
      </c>
      <c r="Y155" s="1509">
        <f t="shared" si="106"/>
        <v>18586.801838680862</v>
      </c>
      <c r="Z155" s="1509">
        <f t="shared" si="107"/>
        <v>4030.6704350808041</v>
      </c>
      <c r="AA155" s="1509">
        <f t="shared" si="108"/>
        <v>0</v>
      </c>
      <c r="AB155" s="1509">
        <f t="shared" si="109"/>
        <v>21833.82727788249</v>
      </c>
      <c r="AC155" s="1509">
        <f t="shared" si="110"/>
        <v>63616.319636963475</v>
      </c>
      <c r="AD155" s="1554">
        <f t="shared" si="111"/>
        <v>5477.0784157962335</v>
      </c>
      <c r="AE155" s="1504">
        <f t="shared" si="112"/>
        <v>0.30125949119168655</v>
      </c>
      <c r="AF155" s="1504">
        <f t="shared" si="113"/>
        <v>0.292170341584508</v>
      </c>
      <c r="AG155" s="1504">
        <f t="shared" si="114"/>
        <v>6.3359063493180032E-2</v>
      </c>
      <c r="AH155" s="1504">
        <f t="shared" si="126"/>
        <v>0</v>
      </c>
      <c r="AI155" s="1504">
        <f t="shared" si="115"/>
        <v>0.34321110373062536</v>
      </c>
      <c r="AJ155" s="1541">
        <f t="shared" si="116"/>
        <v>0.99999999999999989</v>
      </c>
      <c r="AK155" s="1555">
        <f t="shared" si="117"/>
        <v>19165.020085319309</v>
      </c>
      <c r="AL155" s="1556">
        <f t="shared" si="118"/>
        <v>0</v>
      </c>
      <c r="AM155" s="1556">
        <f t="shared" si="119"/>
        <v>0</v>
      </c>
      <c r="AN155" s="1556">
        <f t="shared" si="120"/>
        <v>19165.020085319309</v>
      </c>
      <c r="AO155" s="1543">
        <f t="shared" si="121"/>
        <v>0</v>
      </c>
      <c r="AV155" s="561"/>
      <c r="AW155" s="561"/>
    </row>
    <row r="156" spans="1:49">
      <c r="A156" s="127">
        <f>'Input data'!A136</f>
        <v>2036</v>
      </c>
      <c r="B156" s="1551">
        <f>'Input data'!B136</f>
        <v>69.322810489383542</v>
      </c>
      <c r="C156" s="1550">
        <f>'Input data'!C136</f>
        <v>6175.9287194301432</v>
      </c>
      <c r="D156" s="1511">
        <f>'Input data'!D136</f>
        <v>22500187.169642892</v>
      </c>
      <c r="E156" s="527">
        <f>'Input data'!J136*C156</f>
        <v>74302.880211410215</v>
      </c>
      <c r="F156" s="1509">
        <f>'Input data'!L136</f>
        <v>96803.067381053115</v>
      </c>
      <c r="G156" s="1557">
        <f t="shared" si="132"/>
        <v>13687.941669523079</v>
      </c>
      <c r="H156" s="1509">
        <f t="shared" si="95"/>
        <v>50062.931544317005</v>
      </c>
      <c r="I156" s="1511">
        <f t="shared" si="98"/>
        <v>22500.187169642893</v>
      </c>
      <c r="J156" s="1454">
        <f t="shared" si="131"/>
        <v>0.4</v>
      </c>
      <c r="K156" s="1512">
        <f t="shared" si="123"/>
        <v>7615.2392295976661</v>
      </c>
      <c r="L156" s="1512">
        <f t="shared" si="99"/>
        <v>0</v>
      </c>
      <c r="M156" s="1511">
        <f t="shared" si="124"/>
        <v>7615.2392295976661</v>
      </c>
      <c r="N156" s="1454">
        <f t="shared" si="130"/>
        <v>0.5</v>
      </c>
      <c r="O156" s="530">
        <f t="shared" si="100"/>
        <v>751.91700000000026</v>
      </c>
      <c r="P156" s="1210">
        <f t="shared" si="127"/>
        <v>8367.1562295976655</v>
      </c>
      <c r="Q156" s="1364">
        <f t="shared" si="101"/>
        <v>55383.716984242419</v>
      </c>
      <c r="R156" s="1364">
        <f t="shared" si="125"/>
        <v>41695.775314719343</v>
      </c>
      <c r="S156" s="1514">
        <f t="shared" si="102"/>
        <v>0.99551544407026604</v>
      </c>
      <c r="T156" s="135" t="str">
        <f t="shared" si="103"/>
        <v>Yes</v>
      </c>
      <c r="U156" s="1514">
        <f t="shared" si="104"/>
        <v>0.99551544407026604</v>
      </c>
      <c r="V156" s="1539">
        <f t="shared" si="96"/>
        <v>55107.292066333779</v>
      </c>
      <c r="W156" s="1540">
        <f t="shared" si="97"/>
        <v>0.43072783169761708</v>
      </c>
      <c r="X156" s="527">
        <f t="shared" si="105"/>
        <v>13687.941669523079</v>
      </c>
      <c r="Y156" s="1509">
        <f t="shared" si="106"/>
        <v>14950.11140144718</v>
      </c>
      <c r="Z156" s="1509">
        <f t="shared" si="107"/>
        <v>4109.6267789017866</v>
      </c>
      <c r="AA156" s="1509">
        <f t="shared" si="108"/>
        <v>0</v>
      </c>
      <c r="AB156" s="1509">
        <f t="shared" si="109"/>
        <v>22359.612216461734</v>
      </c>
      <c r="AC156" s="1509">
        <f t="shared" si="110"/>
        <v>55107.292066333779</v>
      </c>
      <c r="AD156" s="1554">
        <f t="shared" si="111"/>
        <v>0</v>
      </c>
      <c r="AE156" s="1504">
        <f t="shared" si="112"/>
        <v>0.24838712185397574</v>
      </c>
      <c r="AF156" s="1504">
        <f t="shared" si="113"/>
        <v>0.27129098238852717</v>
      </c>
      <c r="AG156" s="1504">
        <f t="shared" si="114"/>
        <v>7.4575008584253144E-2</v>
      </c>
      <c r="AH156" s="1504">
        <f t="shared" si="126"/>
        <v>0</v>
      </c>
      <c r="AI156" s="1504">
        <f t="shared" si="115"/>
        <v>0.40574688717324398</v>
      </c>
      <c r="AJ156" s="1541">
        <f t="shared" si="116"/>
        <v>1</v>
      </c>
      <c r="AK156" s="1555">
        <f t="shared" si="117"/>
        <v>13500.112301785734</v>
      </c>
      <c r="AL156" s="1556">
        <f t="shared" si="118"/>
        <v>177.84116336312255</v>
      </c>
      <c r="AM156" s="1556">
        <f t="shared" si="119"/>
        <v>9.9882043742214659</v>
      </c>
      <c r="AN156" s="1556">
        <f t="shared" si="120"/>
        <v>13687.941669523078</v>
      </c>
      <c r="AO156" s="1543">
        <f t="shared" si="121"/>
        <v>0</v>
      </c>
      <c r="AV156" s="561"/>
      <c r="AW156" s="561"/>
    </row>
    <row r="157" spans="1:49">
      <c r="A157" s="127">
        <f>'Input data'!A137</f>
        <v>2037</v>
      </c>
      <c r="B157" s="1551">
        <f>'Input data'!B137</f>
        <v>69.830333629884052</v>
      </c>
      <c r="C157" s="1550">
        <f>'Input data'!C137</f>
        <v>6338.2033947034479</v>
      </c>
      <c r="D157" s="1511">
        <f>'Input data'!D137</f>
        <v>17781297.212015409</v>
      </c>
      <c r="E157" s="527">
        <f>'Input data'!J137*C157</f>
        <v>76255.214233699648</v>
      </c>
      <c r="F157" s="1509">
        <f>'Input data'!L137</f>
        <v>94036.511445715063</v>
      </c>
      <c r="G157" s="1557">
        <f t="shared" si="132"/>
        <v>13687.941669523079</v>
      </c>
      <c r="H157" s="1509">
        <f t="shared" si="95"/>
        <v>46754.741754360221</v>
      </c>
      <c r="I157" s="1511">
        <f t="shared" si="98"/>
        <v>17781.297212015408</v>
      </c>
      <c r="J157" s="1454">
        <f t="shared" si="131"/>
        <v>0.4</v>
      </c>
      <c r="K157" s="1512">
        <f t="shared" si="123"/>
        <v>6018.1202521180821</v>
      </c>
      <c r="L157" s="1512">
        <f t="shared" si="99"/>
        <v>0</v>
      </c>
      <c r="M157" s="1511">
        <f t="shared" si="124"/>
        <v>6018.1202521180821</v>
      </c>
      <c r="N157" s="1454">
        <f t="shared" si="130"/>
        <v>0.5</v>
      </c>
      <c r="O157" s="530">
        <f t="shared" si="100"/>
        <v>751.91700000000026</v>
      </c>
      <c r="P157" s="1210">
        <f t="shared" si="127"/>
        <v>6770.0372521180825</v>
      </c>
      <c r="Q157" s="1364">
        <f t="shared" si="101"/>
        <v>53672.646171765213</v>
      </c>
      <c r="R157" s="1364">
        <f t="shared" si="125"/>
        <v>39984.704502242137</v>
      </c>
      <c r="S157" s="1514">
        <f t="shared" si="102"/>
        <v>0.92979321410745985</v>
      </c>
      <c r="T157" s="135" t="str">
        <f t="shared" si="103"/>
        <v>Yes</v>
      </c>
      <c r="U157" s="1514">
        <f t="shared" si="104"/>
        <v>0.92979321410745985</v>
      </c>
      <c r="V157" s="1539">
        <f t="shared" si="96"/>
        <v>54051.806943472926</v>
      </c>
      <c r="W157" s="1540">
        <f t="shared" si="97"/>
        <v>0.42520403923452976</v>
      </c>
      <c r="X157" s="527">
        <f t="shared" si="105"/>
        <v>13687.941669523076</v>
      </c>
      <c r="Y157" s="1509">
        <f t="shared" si="106"/>
        <v>13218.894697914573</v>
      </c>
      <c r="Z157" s="1509">
        <f t="shared" si="107"/>
        <v>4197.8517712529874</v>
      </c>
      <c r="AA157" s="1509">
        <f t="shared" si="108"/>
        <v>0</v>
      </c>
      <c r="AB157" s="1509">
        <f t="shared" si="109"/>
        <v>22947.118804782291</v>
      </c>
      <c r="AC157" s="1509">
        <f t="shared" si="110"/>
        <v>54051.806943472926</v>
      </c>
      <c r="AD157" s="1554">
        <f t="shared" si="111"/>
        <v>0</v>
      </c>
      <c r="AE157" s="1504">
        <f t="shared" si="112"/>
        <v>0.25323744835834716</v>
      </c>
      <c r="AF157" s="1504">
        <f t="shared" si="113"/>
        <v>0.24455971863695175</v>
      </c>
      <c r="AG157" s="1504">
        <f t="shared" si="114"/>
        <v>7.7663486359356632E-2</v>
      </c>
      <c r="AH157" s="1504">
        <f t="shared" si="126"/>
        <v>0</v>
      </c>
      <c r="AI157" s="1504">
        <f t="shared" si="115"/>
        <v>0.42453934664534448</v>
      </c>
      <c r="AJ157" s="1541">
        <f t="shared" si="116"/>
        <v>1</v>
      </c>
      <c r="AK157" s="1555">
        <f t="shared" si="117"/>
        <v>10668.778327209246</v>
      </c>
      <c r="AL157" s="1556">
        <f t="shared" si="118"/>
        <v>2857.2999527165493</v>
      </c>
      <c r="AM157" s="1556">
        <f t="shared" si="119"/>
        <v>161.86338959728286</v>
      </c>
      <c r="AN157" s="1556">
        <f t="shared" si="120"/>
        <v>13687.941669523078</v>
      </c>
      <c r="AO157" s="1543">
        <f t="shared" si="121"/>
        <v>0</v>
      </c>
      <c r="AV157" s="561"/>
      <c r="AW157" s="561"/>
    </row>
    <row r="158" spans="1:49">
      <c r="A158" s="127">
        <f>'Input data'!A138</f>
        <v>2038</v>
      </c>
      <c r="B158" s="1551">
        <f>'Input data'!B138</f>
        <v>70.341572426693446</v>
      </c>
      <c r="C158" s="1550">
        <f>'Input data'!C138</f>
        <v>6499.2753713641341</v>
      </c>
      <c r="D158" s="1511">
        <f>'Input data'!D138</f>
        <v>14837853.800490763</v>
      </c>
      <c r="E158" s="527">
        <f>'Input data'!J138*C158</f>
        <v>78193.078534105356</v>
      </c>
      <c r="F158" s="1509">
        <f>'Input data'!L138</f>
        <v>93030.932334596117</v>
      </c>
      <c r="G158" s="1509">
        <f t="shared" si="132"/>
        <v>13687.941669523079</v>
      </c>
      <c r="H158" s="1509">
        <f t="shared" si="95"/>
        <v>45104.420961159514</v>
      </c>
      <c r="I158" s="1511">
        <f t="shared" si="98"/>
        <v>14837.853800490762</v>
      </c>
      <c r="J158" s="1454">
        <f t="shared" si="131"/>
        <v>0.4</v>
      </c>
      <c r="K158" s="1512">
        <f t="shared" si="123"/>
        <v>5021.9051731704076</v>
      </c>
      <c r="L158" s="1512">
        <f t="shared" si="99"/>
        <v>0</v>
      </c>
      <c r="M158" s="1511">
        <f t="shared" si="124"/>
        <v>5021.9051731704076</v>
      </c>
      <c r="N158" s="1454">
        <f t="shared" si="130"/>
        <v>0.5</v>
      </c>
      <c r="O158" s="530">
        <f t="shared" si="100"/>
        <v>751.91700000000026</v>
      </c>
      <c r="P158" s="1210">
        <f t="shared" si="127"/>
        <v>5773.822173170408</v>
      </c>
      <c r="Q158" s="1364">
        <f t="shared" si="101"/>
        <v>53018.540457512179</v>
      </c>
      <c r="R158" s="1364">
        <f t="shared" si="125"/>
        <v>39330.598787989104</v>
      </c>
      <c r="S158" s="1514">
        <f t="shared" si="102"/>
        <v>0.89153032852503933</v>
      </c>
      <c r="T158" s="135" t="str">
        <f t="shared" si="103"/>
        <v>Yes</v>
      </c>
      <c r="U158" s="1514">
        <f t="shared" si="104"/>
        <v>0.89153032852503933</v>
      </c>
      <c r="V158" s="1539">
        <f t="shared" si="96"/>
        <v>53700.333546607028</v>
      </c>
      <c r="W158" s="1540">
        <f t="shared" si="97"/>
        <v>0.42276904897106915</v>
      </c>
      <c r="X158" s="527">
        <f t="shared" si="105"/>
        <v>13687.941669523078</v>
      </c>
      <c r="Y158" s="1509">
        <f t="shared" si="106"/>
        <v>12196.697904390883</v>
      </c>
      <c r="Z158" s="1509">
        <f t="shared" si="107"/>
        <v>4285.4228841512158</v>
      </c>
      <c r="AA158" s="1509">
        <f t="shared" si="108"/>
        <v>0</v>
      </c>
      <c r="AB158" s="1509">
        <f t="shared" si="109"/>
        <v>23530.271088541846</v>
      </c>
      <c r="AC158" s="1509">
        <f t="shared" si="110"/>
        <v>53700.333546607028</v>
      </c>
      <c r="AD158" s="1554">
        <f t="shared" si="111"/>
        <v>0</v>
      </c>
      <c r="AE158" s="1504">
        <f t="shared" si="112"/>
        <v>0.25489490968697959</v>
      </c>
      <c r="AF158" s="1504">
        <f t="shared" si="113"/>
        <v>0.22712517965657053</v>
      </c>
      <c r="AG158" s="1504">
        <f t="shared" si="114"/>
        <v>7.9802537547217597E-2</v>
      </c>
      <c r="AH158" s="1504">
        <f t="shared" si="126"/>
        <v>0</v>
      </c>
      <c r="AI158" s="1504">
        <f t="shared" si="115"/>
        <v>0.43817737310923222</v>
      </c>
      <c r="AJ158" s="1541">
        <f t="shared" si="116"/>
        <v>0.99999999999999989</v>
      </c>
      <c r="AK158" s="1555">
        <f t="shared" si="117"/>
        <v>8902.7122802944559</v>
      </c>
      <c r="AL158" s="1556">
        <f t="shared" si="118"/>
        <v>4526.7221055766722</v>
      </c>
      <c r="AM158" s="1556">
        <f t="shared" si="119"/>
        <v>258.50728365194686</v>
      </c>
      <c r="AN158" s="1556">
        <f t="shared" si="120"/>
        <v>13687.941669523076</v>
      </c>
      <c r="AO158" s="1543">
        <f t="shared" si="121"/>
        <v>0</v>
      </c>
      <c r="AV158" s="561"/>
      <c r="AW158" s="561"/>
    </row>
    <row r="159" spans="1:49">
      <c r="A159" s="127">
        <f>'Input data'!A139</f>
        <v>2039</v>
      </c>
      <c r="B159" s="1551">
        <f>'Input data'!B139</f>
        <v>70.856554082712819</v>
      </c>
      <c r="C159" s="1550">
        <f>'Input data'!C139</f>
        <v>6668.6889746882025</v>
      </c>
      <c r="D159" s="1511">
        <f>'Input data'!D139</f>
        <v>11894410.388966125</v>
      </c>
      <c r="E159" s="527">
        <f>'Input data'!J139*C159</f>
        <v>80231.30132550007</v>
      </c>
      <c r="F159" s="1509">
        <f>'Input data'!L139</f>
        <v>92125.71171446619</v>
      </c>
      <c r="G159" s="1509">
        <f t="shared" si="132"/>
        <v>13687.941669523079</v>
      </c>
      <c r="H159" s="1509">
        <f t="shared" si="95"/>
        <v>43511.68658461461</v>
      </c>
      <c r="I159" s="1511">
        <f t="shared" si="98"/>
        <v>11894.410388966124</v>
      </c>
      <c r="J159" s="1454">
        <f t="shared" si="131"/>
        <v>0.4</v>
      </c>
      <c r="K159" s="1512">
        <f t="shared" si="123"/>
        <v>4025.6900942227339</v>
      </c>
      <c r="L159" s="1512">
        <f t="shared" si="99"/>
        <v>0</v>
      </c>
      <c r="M159" s="1511">
        <f t="shared" si="124"/>
        <v>4025.6900942227339</v>
      </c>
      <c r="N159" s="1454">
        <f t="shared" si="130"/>
        <v>0.5</v>
      </c>
      <c r="O159" s="530">
        <f t="shared" si="100"/>
        <v>751.91700000000026</v>
      </c>
      <c r="P159" s="1210">
        <f t="shared" si="127"/>
        <v>4777.6070942227343</v>
      </c>
      <c r="Q159" s="1364">
        <f t="shared" si="101"/>
        <v>52422.021159914962</v>
      </c>
      <c r="R159" s="1364">
        <f t="shared" si="125"/>
        <v>38734.079490391887</v>
      </c>
      <c r="S159" s="1514">
        <f t="shared" si="102"/>
        <v>0.85533308608416481</v>
      </c>
      <c r="T159" s="135" t="str">
        <f t="shared" si="103"/>
        <v>Yes</v>
      </c>
      <c r="U159" s="1514">
        <f t="shared" si="104"/>
        <v>0.85533308608416481</v>
      </c>
      <c r="V159" s="1539">
        <f t="shared" si="96"/>
        <v>53391.632224074317</v>
      </c>
      <c r="W159" s="1540">
        <f t="shared" si="97"/>
        <v>0.42044808956748159</v>
      </c>
      <c r="X159" s="527">
        <f t="shared" si="105"/>
        <v>13687.941669523076</v>
      </c>
      <c r="Y159" s="1509">
        <f t="shared" si="106"/>
        <v>11182.537632279847</v>
      </c>
      <c r="Z159" s="1509">
        <f t="shared" si="107"/>
        <v>4377.5291467721845</v>
      </c>
      <c r="AA159" s="1509">
        <f t="shared" si="108"/>
        <v>0</v>
      </c>
      <c r="AB159" s="1509">
        <f t="shared" si="109"/>
        <v>24143.623775499214</v>
      </c>
      <c r="AC159" s="1509">
        <f t="shared" si="110"/>
        <v>53391.632224074317</v>
      </c>
      <c r="AD159" s="1554">
        <f t="shared" si="111"/>
        <v>0</v>
      </c>
      <c r="AE159" s="1504">
        <f t="shared" si="112"/>
        <v>0.25636866863476737</v>
      </c>
      <c r="AF159" s="1504">
        <f t="shared" si="113"/>
        <v>0.20944363688581213</v>
      </c>
      <c r="AG159" s="1504">
        <f t="shared" si="114"/>
        <v>8.1989048928126876E-2</v>
      </c>
      <c r="AH159" s="1504">
        <f t="shared" si="126"/>
        <v>0</v>
      </c>
      <c r="AI159" s="1504">
        <f t="shared" si="115"/>
        <v>0.45219864555129374</v>
      </c>
      <c r="AJ159" s="1541">
        <f t="shared" si="116"/>
        <v>1</v>
      </c>
      <c r="AK159" s="1555">
        <f t="shared" si="117"/>
        <v>7136.6462333796744</v>
      </c>
      <c r="AL159" s="1556">
        <f t="shared" si="118"/>
        <v>6194.6995957233803</v>
      </c>
      <c r="AM159" s="1556">
        <f t="shared" si="119"/>
        <v>356.5958404200191</v>
      </c>
      <c r="AN159" s="1556">
        <f t="shared" si="120"/>
        <v>13687.941669523074</v>
      </c>
      <c r="AO159" s="1543">
        <f t="shared" si="121"/>
        <v>0</v>
      </c>
      <c r="AV159" s="561"/>
      <c r="AW159" s="561"/>
    </row>
    <row r="160" spans="1:49">
      <c r="A160" s="127">
        <f>'Input data'!A140</f>
        <v>2040</v>
      </c>
      <c r="B160" s="1551">
        <f>'Input data'!B140</f>
        <v>71.375305999999995</v>
      </c>
      <c r="C160" s="1550">
        <f>'Input data'!C140</f>
        <v>6840.2471934556306</v>
      </c>
      <c r="D160" s="1511">
        <f>'Input data'!D140</f>
        <v>8950966.9774414804</v>
      </c>
      <c r="E160" s="527">
        <f>'Input data'!J140*C160</f>
        <v>82295.326083145788</v>
      </c>
      <c r="F160" s="1509">
        <f>'Input data'!L140</f>
        <v>91246.293060587268</v>
      </c>
      <c r="G160" s="1509">
        <f t="shared" si="132"/>
        <v>13687.941669523079</v>
      </c>
      <c r="H160" s="1509">
        <f t="shared" si="95"/>
        <v>41933.757560007813</v>
      </c>
      <c r="I160" s="1511">
        <f t="shared" si="98"/>
        <v>8950.9669774414797</v>
      </c>
      <c r="J160" s="1454">
        <f t="shared" si="131"/>
        <v>0.4</v>
      </c>
      <c r="K160" s="1512">
        <f t="shared" si="123"/>
        <v>3029.4750152750594</v>
      </c>
      <c r="L160" s="1512">
        <f t="shared" si="99"/>
        <v>0</v>
      </c>
      <c r="M160" s="1511">
        <f t="shared" si="124"/>
        <v>3029.4750152750594</v>
      </c>
      <c r="N160" s="1454">
        <f t="shared" si="130"/>
        <v>0.5</v>
      </c>
      <c r="O160" s="530">
        <f t="shared" si="100"/>
        <v>751.91700000000026</v>
      </c>
      <c r="P160" s="1210">
        <f t="shared" si="127"/>
        <v>3781.3920152750597</v>
      </c>
      <c r="Q160" s="1364">
        <f t="shared" si="101"/>
        <v>51840.30721425583</v>
      </c>
      <c r="R160" s="1364">
        <f t="shared" si="125"/>
        <v>38152.365544732747</v>
      </c>
      <c r="S160" s="1514">
        <f t="shared" si="102"/>
        <v>0.82101548653203738</v>
      </c>
      <c r="T160" s="135" t="str">
        <f t="shared" si="103"/>
        <v>Yes</v>
      </c>
      <c r="U160" s="1514">
        <f t="shared" si="104"/>
        <v>0.82101548653203738</v>
      </c>
      <c r="V160" s="1539">
        <f t="shared" si="96"/>
        <v>53093.927515854528</v>
      </c>
      <c r="W160" s="1540">
        <f t="shared" si="97"/>
        <v>0.41812510147014614</v>
      </c>
      <c r="X160" s="527">
        <f t="shared" si="105"/>
        <v>13687.941669523081</v>
      </c>
      <c r="Y160" s="1509">
        <f t="shared" si="106"/>
        <v>10170.443533665652</v>
      </c>
      <c r="Z160" s="1509">
        <f t="shared" si="107"/>
        <v>4470.8013872684305</v>
      </c>
      <c r="AA160" s="1509">
        <f t="shared" si="108"/>
        <v>0</v>
      </c>
      <c r="AB160" s="1509">
        <f t="shared" si="109"/>
        <v>24764.740925397364</v>
      </c>
      <c r="AC160" s="1509">
        <f t="shared" si="110"/>
        <v>53093.927515854528</v>
      </c>
      <c r="AD160" s="1535">
        <f t="shared" si="111"/>
        <v>0</v>
      </c>
      <c r="AE160" s="1504">
        <f t="shared" si="112"/>
        <v>0.25780616183339772</v>
      </c>
      <c r="AF160" s="1504">
        <f t="shared" si="113"/>
        <v>0.19155568272150569</v>
      </c>
      <c r="AG160" s="1504">
        <f t="shared" si="114"/>
        <v>8.4205512691322218E-2</v>
      </c>
      <c r="AH160" s="1504">
        <f t="shared" si="126"/>
        <v>0</v>
      </c>
      <c r="AI160" s="1504">
        <f t="shared" si="115"/>
        <v>0.46643264275377433</v>
      </c>
      <c r="AJ160" s="1541">
        <f t="shared" si="116"/>
        <v>1</v>
      </c>
      <c r="AK160" s="1555">
        <f t="shared" si="117"/>
        <v>5370.5801864648884</v>
      </c>
      <c r="AL160" s="1556">
        <f t="shared" si="118"/>
        <v>7861.3625074023694</v>
      </c>
      <c r="AM160" s="1556">
        <f t="shared" si="119"/>
        <v>455.99897565582518</v>
      </c>
      <c r="AN160" s="1556">
        <f t="shared" si="120"/>
        <v>13687.941669523083</v>
      </c>
      <c r="AO160" s="1543">
        <f t="shared" si="121"/>
        <v>0</v>
      </c>
      <c r="AV160" s="561"/>
      <c r="AW160" s="561"/>
    </row>
    <row r="161" spans="1:49">
      <c r="A161" s="127">
        <f>'Input data'!A141</f>
        <v>2041</v>
      </c>
      <c r="B161" s="1551">
        <f>'Input data'!B141</f>
        <v>71.818612994947316</v>
      </c>
      <c r="C161" s="1550">
        <f>'Input data'!C141</f>
        <v>7028.9784058300729</v>
      </c>
      <c r="D161" s="1511">
        <f>'Input data'!D141</f>
        <v>7408427.529416549</v>
      </c>
      <c r="E161" s="527">
        <f>'Input data'!J141*C161</f>
        <v>84565.959910426493</v>
      </c>
      <c r="F161" s="1509">
        <f>'Input data'!L141</f>
        <v>91974.387439843034</v>
      </c>
      <c r="G161" s="1509">
        <f t="shared" si="132"/>
        <v>13687.941669523079</v>
      </c>
      <c r="H161" s="1509">
        <f t="shared" si="95"/>
        <v>41789.063783117614</v>
      </c>
      <c r="I161" s="1511">
        <f t="shared" si="98"/>
        <v>7408.4275294165491</v>
      </c>
      <c r="J161" s="1454">
        <f t="shared" si="131"/>
        <v>0.4</v>
      </c>
      <c r="K161" s="1512">
        <f t="shared" si="123"/>
        <v>2507.3990507848575</v>
      </c>
      <c r="L161" s="1512">
        <f t="shared" si="99"/>
        <v>0</v>
      </c>
      <c r="M161" s="1511">
        <f t="shared" si="124"/>
        <v>2507.3990507848575</v>
      </c>
      <c r="N161" s="1454">
        <f t="shared" si="130"/>
        <v>0.5</v>
      </c>
      <c r="O161" s="530">
        <f t="shared" si="100"/>
        <v>751.91700000000026</v>
      </c>
      <c r="P161" s="1210">
        <f t="shared" si="127"/>
        <v>3259.3160507848579</v>
      </c>
      <c r="Q161" s="1364">
        <f t="shared" si="101"/>
        <v>52217.689401855838</v>
      </c>
      <c r="R161" s="1364">
        <f t="shared" si="125"/>
        <v>38529.747732332762</v>
      </c>
      <c r="S161" s="1514">
        <f t="shared" si="102"/>
        <v>0.80652342996718251</v>
      </c>
      <c r="T161" s="135" t="str">
        <f t="shared" si="103"/>
        <v>Yes</v>
      </c>
      <c r="U161" s="1514">
        <f t="shared" si="104"/>
        <v>0.80652342996718251</v>
      </c>
      <c r="V161" s="1539">
        <f t="shared" si="96"/>
        <v>53444.639707510287</v>
      </c>
      <c r="W161" s="1540">
        <f t="shared" si="97"/>
        <v>0.41891823152976793</v>
      </c>
      <c r="X161" s="527">
        <f t="shared" si="105"/>
        <v>13687.941669523074</v>
      </c>
      <c r="Y161" s="1509">
        <f t="shared" si="106"/>
        <v>9735.2558907040348</v>
      </c>
      <c r="Z161" s="1509">
        <f t="shared" si="107"/>
        <v>4573.4101876873783</v>
      </c>
      <c r="AA161" s="1509">
        <f t="shared" si="108"/>
        <v>0</v>
      </c>
      <c r="AB161" s="1509">
        <f t="shared" si="109"/>
        <v>25448.031959595799</v>
      </c>
      <c r="AC161" s="1509">
        <f t="shared" si="110"/>
        <v>53444.639707510287</v>
      </c>
      <c r="AD161" s="1535">
        <f t="shared" si="111"/>
        <v>0</v>
      </c>
      <c r="AE161" s="1504">
        <f t="shared" si="112"/>
        <v>0.25611439696167659</v>
      </c>
      <c r="AF161" s="1504">
        <f t="shared" si="113"/>
        <v>0.1821558896080647</v>
      </c>
      <c r="AG161" s="1504">
        <f t="shared" si="114"/>
        <v>8.5572850948505905E-2</v>
      </c>
      <c r="AH161" s="1504">
        <f t="shared" si="126"/>
        <v>0</v>
      </c>
      <c r="AI161" s="1504">
        <f t="shared" si="115"/>
        <v>0.47615686248175276</v>
      </c>
      <c r="AJ161" s="1541">
        <f t="shared" si="116"/>
        <v>1</v>
      </c>
      <c r="AK161" s="1555">
        <f t="shared" si="117"/>
        <v>4445.0565176499294</v>
      </c>
      <c r="AL161" s="1556">
        <f t="shared" si="118"/>
        <v>8732.3505118325393</v>
      </c>
      <c r="AM161" s="1556">
        <f t="shared" si="119"/>
        <v>510.5346400406039</v>
      </c>
      <c r="AN161" s="1556">
        <f t="shared" si="120"/>
        <v>13687.941669523072</v>
      </c>
      <c r="AO161" s="1543">
        <f t="shared" si="121"/>
        <v>0</v>
      </c>
      <c r="AV161" s="561"/>
      <c r="AW161" s="561"/>
    </row>
    <row r="162" spans="1:49">
      <c r="A162" s="127">
        <f>'Input data'!A142</f>
        <v>2042</v>
      </c>
      <c r="B162" s="1551">
        <f>'Input data'!B142</f>
        <v>72.264673338395411</v>
      </c>
      <c r="C162" s="1550">
        <f>'Input data'!C142</f>
        <v>7212.2527913428794</v>
      </c>
      <c r="D162" s="1511">
        <f>'Input data'!D142</f>
        <v>5865888.0813916186</v>
      </c>
      <c r="E162" s="527">
        <f>'Input data'!J142*C162</f>
        <v>86770.942404757225</v>
      </c>
      <c r="F162" s="1509">
        <f>'Input data'!L142</f>
        <v>92636.830486148843</v>
      </c>
      <c r="G162" s="1509">
        <f t="shared" si="132"/>
        <v>13687.941669523079</v>
      </c>
      <c r="H162" s="1509">
        <f t="shared" si="95"/>
        <v>41606.698803960346</v>
      </c>
      <c r="I162" s="1511">
        <f t="shared" si="98"/>
        <v>5865.8880813916185</v>
      </c>
      <c r="J162" s="1454">
        <f t="shared" si="131"/>
        <v>0.4</v>
      </c>
      <c r="K162" s="1512">
        <f t="shared" si="123"/>
        <v>1985.3230862946555</v>
      </c>
      <c r="L162" s="1512">
        <f t="shared" si="99"/>
        <v>0</v>
      </c>
      <c r="M162" s="1511">
        <f t="shared" si="124"/>
        <v>1985.3230862946555</v>
      </c>
      <c r="N162" s="1454">
        <f t="shared" si="130"/>
        <v>0.5</v>
      </c>
      <c r="O162" s="530">
        <f t="shared" si="100"/>
        <v>751.91700000000026</v>
      </c>
      <c r="P162" s="1210">
        <f t="shared" si="127"/>
        <v>2737.2400862946556</v>
      </c>
      <c r="Q162" s="1364">
        <f t="shared" si="101"/>
        <v>52557.400387188776</v>
      </c>
      <c r="R162" s="1364">
        <f t="shared" si="125"/>
        <v>38869.458717665693</v>
      </c>
      <c r="S162" s="1514">
        <f t="shared" si="102"/>
        <v>0.79264170056466809</v>
      </c>
      <c r="T162" s="135" t="str">
        <f t="shared" si="103"/>
        <v>Yes</v>
      </c>
      <c r="U162" s="1514">
        <f t="shared" si="104"/>
        <v>0.79264170056466809</v>
      </c>
      <c r="V162" s="1539">
        <f t="shared" si="96"/>
        <v>53767.371768483164</v>
      </c>
      <c r="W162" s="1540">
        <f t="shared" si="97"/>
        <v>0.41958968710050459</v>
      </c>
      <c r="X162" s="527">
        <f t="shared" si="105"/>
        <v>13687.941669523081</v>
      </c>
      <c r="Y162" s="1509">
        <f t="shared" si="106"/>
        <v>9294.8110110320795</v>
      </c>
      <c r="Z162" s="1509">
        <f t="shared" si="107"/>
        <v>4673.052237396033</v>
      </c>
      <c r="AA162" s="1509">
        <f t="shared" si="108"/>
        <v>0</v>
      </c>
      <c r="AB162" s="1509">
        <f t="shared" si="109"/>
        <v>26111.566850531974</v>
      </c>
      <c r="AC162" s="1509">
        <f t="shared" si="110"/>
        <v>53767.371768483164</v>
      </c>
      <c r="AD162" s="1535">
        <f t="shared" si="111"/>
        <v>0</v>
      </c>
      <c r="AE162" s="1504">
        <f t="shared" si="112"/>
        <v>0.25457710167537972</v>
      </c>
      <c r="AF162" s="1504">
        <f t="shared" si="113"/>
        <v>0.17287084537169847</v>
      </c>
      <c r="AG162" s="1504">
        <f t="shared" si="114"/>
        <v>8.691241702342678E-2</v>
      </c>
      <c r="AH162" s="1504">
        <f t="shared" si="126"/>
        <v>0</v>
      </c>
      <c r="AI162" s="1504">
        <f t="shared" si="115"/>
        <v>0.48563963592949505</v>
      </c>
      <c r="AJ162" s="1541">
        <f t="shared" si="116"/>
        <v>1</v>
      </c>
      <c r="AK162" s="1555">
        <f t="shared" si="117"/>
        <v>3519.5328488349705</v>
      </c>
      <c r="AL162" s="1556">
        <f t="shared" si="118"/>
        <v>9602.9116676572321</v>
      </c>
      <c r="AM162" s="1556">
        <f t="shared" si="119"/>
        <v>565.49715303087601</v>
      </c>
      <c r="AN162" s="1556">
        <f t="shared" si="120"/>
        <v>13687.941669523079</v>
      </c>
      <c r="AO162" s="1543">
        <f t="shared" si="121"/>
        <v>0</v>
      </c>
      <c r="AV162" s="561"/>
      <c r="AW162" s="561"/>
    </row>
    <row r="163" spans="1:49">
      <c r="A163" s="127">
        <f>'Input data'!A143</f>
        <v>2043</v>
      </c>
      <c r="B163" s="1551">
        <f>'Input data'!B143</f>
        <v>72.713504131197794</v>
      </c>
      <c r="C163" s="1550">
        <f>'Input data'!C143</f>
        <v>7399.5467373897327</v>
      </c>
      <c r="D163" s="1511">
        <f>'Input data'!D143</f>
        <v>4323348.6333666872</v>
      </c>
      <c r="E163" s="527">
        <f>'Input data'!J143*C163</f>
        <v>89024.284415272807</v>
      </c>
      <c r="F163" s="1509">
        <f>'Input data'!L143</f>
        <v>93347.633048639487</v>
      </c>
      <c r="G163" s="1509">
        <f t="shared" si="132"/>
        <v>13687.941669523079</v>
      </c>
      <c r="H163" s="1509">
        <f t="shared" si="95"/>
        <v>41452.082859497095</v>
      </c>
      <c r="I163" s="1511">
        <f t="shared" si="98"/>
        <v>4323.348633366687</v>
      </c>
      <c r="J163" s="1454">
        <f t="shared" si="131"/>
        <v>0.4</v>
      </c>
      <c r="K163" s="1512">
        <f t="shared" si="123"/>
        <v>1463.2471218044532</v>
      </c>
      <c r="L163" s="1512">
        <f t="shared" si="99"/>
        <v>0</v>
      </c>
      <c r="M163" s="1511">
        <f t="shared" si="124"/>
        <v>1463.2471218044532</v>
      </c>
      <c r="N163" s="1454">
        <f t="shared" si="130"/>
        <v>0.5</v>
      </c>
      <c r="O163" s="530">
        <f t="shared" si="100"/>
        <v>751.91700000000026</v>
      </c>
      <c r="P163" s="1210">
        <f t="shared" si="127"/>
        <v>2215.1641218044533</v>
      </c>
      <c r="Q163" s="1364">
        <f t="shared" si="101"/>
        <v>52924.860407215718</v>
      </c>
      <c r="R163" s="1364">
        <f t="shared" si="125"/>
        <v>39236.918737692642</v>
      </c>
      <c r="S163" s="1514">
        <f t="shared" si="102"/>
        <v>0.77957987558317743</v>
      </c>
      <c r="T163" s="135" t="str">
        <f t="shared" si="103"/>
        <v>Yes</v>
      </c>
      <c r="U163" s="1514">
        <f t="shared" si="104"/>
        <v>0.77957987558317743</v>
      </c>
      <c r="V163" s="1539">
        <f t="shared" si="96"/>
        <v>54110.71431094686</v>
      </c>
      <c r="W163" s="1540">
        <f t="shared" si="97"/>
        <v>0.42033115844777702</v>
      </c>
      <c r="X163" s="527">
        <f t="shared" si="105"/>
        <v>13687.941669523076</v>
      </c>
      <c r="Y163" s="1509">
        <f t="shared" si="106"/>
        <v>8858.2386715258344</v>
      </c>
      <c r="Z163" s="1509">
        <f t="shared" si="107"/>
        <v>4774.8796293139649</v>
      </c>
      <c r="AA163" s="1509">
        <f t="shared" si="108"/>
        <v>0</v>
      </c>
      <c r="AB163" s="1509">
        <f t="shared" si="109"/>
        <v>26789.654340583988</v>
      </c>
      <c r="AC163" s="1509">
        <f t="shared" si="110"/>
        <v>54110.71431094686</v>
      </c>
      <c r="AD163" s="1535">
        <f t="shared" si="111"/>
        <v>0</v>
      </c>
      <c r="AE163" s="1504">
        <f t="shared" si="112"/>
        <v>0.25296176263476045</v>
      </c>
      <c r="AF163" s="1504">
        <f t="shared" si="113"/>
        <v>0.16370581657122515</v>
      </c>
      <c r="AG163" s="1504">
        <f t="shared" si="114"/>
        <v>8.8242775762950587E-2</v>
      </c>
      <c r="AH163" s="1504">
        <f t="shared" si="126"/>
        <v>0</v>
      </c>
      <c r="AI163" s="1504">
        <f t="shared" si="115"/>
        <v>0.49508964503106384</v>
      </c>
      <c r="AJ163" s="1541">
        <f t="shared" si="116"/>
        <v>1</v>
      </c>
      <c r="AK163" s="1555">
        <f t="shared" si="117"/>
        <v>2594.0091800200125</v>
      </c>
      <c r="AL163" s="1556">
        <f t="shared" si="118"/>
        <v>10472.899401421837</v>
      </c>
      <c r="AM163" s="1556">
        <f t="shared" si="119"/>
        <v>621.03308808122574</v>
      </c>
      <c r="AN163" s="1556">
        <f t="shared" si="120"/>
        <v>13687.941669523076</v>
      </c>
      <c r="AO163" s="1543">
        <f t="shared" si="121"/>
        <v>0</v>
      </c>
      <c r="AV163" s="561"/>
      <c r="AW163" s="561"/>
    </row>
    <row r="164" spans="1:49">
      <c r="A164" s="127">
        <f>'Input data'!A144</f>
        <v>2044</v>
      </c>
      <c r="B164" s="1551">
        <f>'Input data'!B144</f>
        <v>73.165122580420132</v>
      </c>
      <c r="C164" s="1550">
        <f>'Input data'!C144</f>
        <v>7593.410855692503</v>
      </c>
      <c r="D164" s="1511">
        <f>'Input data'!D144</f>
        <v>2780809.1853417563</v>
      </c>
      <c r="E164" s="527">
        <f>'Input data'!J144*C164</f>
        <v>91356.672467975353</v>
      </c>
      <c r="F164" s="1509">
        <f>'Input data'!L144</f>
        <v>94137.481653317111</v>
      </c>
      <c r="G164" s="1509">
        <f t="shared" si="132"/>
        <v>13687.941669523079</v>
      </c>
      <c r="H164" s="1509">
        <f t="shared" si="95"/>
        <v>41342.824096827942</v>
      </c>
      <c r="I164" s="1511">
        <f t="shared" si="98"/>
        <v>2780.8091853417563</v>
      </c>
      <c r="J164" s="1454">
        <f t="shared" si="131"/>
        <v>0.4</v>
      </c>
      <c r="K164" s="1512">
        <f t="shared" si="123"/>
        <v>941.1711573142511</v>
      </c>
      <c r="L164" s="1512">
        <f t="shared" si="99"/>
        <v>0</v>
      </c>
      <c r="M164" s="1511">
        <f t="shared" si="124"/>
        <v>941.1711573142511</v>
      </c>
      <c r="N164" s="1454">
        <f t="shared" si="130"/>
        <v>0.5</v>
      </c>
      <c r="O164" s="530">
        <f t="shared" si="100"/>
        <v>751.91700000000026</v>
      </c>
      <c r="P164" s="1210">
        <f t="shared" si="127"/>
        <v>1693.0881573142515</v>
      </c>
      <c r="Q164" s="1364">
        <f t="shared" si="101"/>
        <v>53337.677609036771</v>
      </c>
      <c r="R164" s="1364">
        <f t="shared" si="125"/>
        <v>39649.735939513688</v>
      </c>
      <c r="S164" s="1514">
        <f t="shared" si="102"/>
        <v>0.76737673514305982</v>
      </c>
      <c r="T164" s="135" t="str">
        <f t="shared" si="103"/>
        <v>Yes</v>
      </c>
      <c r="U164" s="1514">
        <f t="shared" si="104"/>
        <v>0.76737673514305982</v>
      </c>
      <c r="V164" s="1539">
        <f t="shared" si="96"/>
        <v>54487.74571380343</v>
      </c>
      <c r="W164" s="1540">
        <f t="shared" si="97"/>
        <v>0.42118968176281724</v>
      </c>
      <c r="X164" s="527">
        <f t="shared" si="105"/>
        <v>13687.941669523083</v>
      </c>
      <c r="Y164" s="1509">
        <f t="shared" si="106"/>
        <v>8427.9961921476224</v>
      </c>
      <c r="Z164" s="1509">
        <f t="shared" si="107"/>
        <v>4880.2790721144393</v>
      </c>
      <c r="AA164" s="1509">
        <f t="shared" si="108"/>
        <v>0</v>
      </c>
      <c r="AB164" s="1509">
        <f t="shared" si="109"/>
        <v>27491.528780018285</v>
      </c>
      <c r="AC164" s="1509">
        <f t="shared" si="110"/>
        <v>54487.74571380343</v>
      </c>
      <c r="AD164" s="1535">
        <f t="shared" si="111"/>
        <v>0</v>
      </c>
      <c r="AE164" s="1504">
        <f t="shared" si="112"/>
        <v>0.25121137771819224</v>
      </c>
      <c r="AF164" s="1504">
        <f t="shared" si="113"/>
        <v>0.15467691095931227</v>
      </c>
      <c r="AG164" s="1504">
        <f t="shared" si="114"/>
        <v>8.9566543966565937E-2</v>
      </c>
      <c r="AH164" s="1504">
        <f t="shared" si="126"/>
        <v>0</v>
      </c>
      <c r="AI164" s="1504">
        <f t="shared" si="115"/>
        <v>0.50454516735592958</v>
      </c>
      <c r="AJ164" s="1541">
        <f t="shared" si="116"/>
        <v>1</v>
      </c>
      <c r="AK164" s="1555">
        <f t="shared" si="117"/>
        <v>1668.4855112050541</v>
      </c>
      <c r="AL164" s="1556">
        <f t="shared" si="118"/>
        <v>11342.28659121322</v>
      </c>
      <c r="AM164" s="1556">
        <f t="shared" si="119"/>
        <v>677.16956710480747</v>
      </c>
      <c r="AN164" s="1556">
        <f t="shared" si="120"/>
        <v>13687.941669523081</v>
      </c>
      <c r="AO164" s="1543">
        <f t="shared" si="121"/>
        <v>0</v>
      </c>
      <c r="AV164" s="561"/>
      <c r="AW164" s="561"/>
    </row>
    <row r="165" spans="1:49">
      <c r="A165" s="127">
        <f>'Input data'!A145</f>
        <v>2045</v>
      </c>
      <c r="B165" s="1551">
        <f>'Input data'!B145</f>
        <v>73.619545999999971</v>
      </c>
      <c r="C165" s="1550">
        <f>'Input data'!C145</f>
        <v>7794.8943128616638</v>
      </c>
      <c r="D165" s="1511">
        <f>'Input data'!D145</f>
        <v>1238269.7373168254</v>
      </c>
      <c r="E165" s="527">
        <f>'Input data'!J145*C165</f>
        <v>93780.729134225592</v>
      </c>
      <c r="F165" s="1509">
        <f>'Input data'!L145</f>
        <v>95018.998871542412</v>
      </c>
      <c r="G165" s="1509">
        <f t="shared" si="132"/>
        <v>13687.941669523079</v>
      </c>
      <c r="H165" s="1509">
        <f t="shared" si="95"/>
        <v>41286.165437269112</v>
      </c>
      <c r="I165" s="1511">
        <f t="shared" si="98"/>
        <v>1238.2697373168255</v>
      </c>
      <c r="J165" s="1454">
        <f t="shared" si="131"/>
        <v>0.4</v>
      </c>
      <c r="K165" s="1512">
        <f t="shared" si="123"/>
        <v>419.09519282404921</v>
      </c>
      <c r="L165" s="1512">
        <f t="shared" si="99"/>
        <v>0</v>
      </c>
      <c r="M165" s="1511">
        <f t="shared" si="124"/>
        <v>419.09519282404921</v>
      </c>
      <c r="N165" s="1454">
        <f t="shared" si="130"/>
        <v>0.5</v>
      </c>
      <c r="O165" s="530">
        <f t="shared" si="100"/>
        <v>751.91700000000026</v>
      </c>
      <c r="P165" s="1210">
        <f t="shared" si="127"/>
        <v>1171.0121928240494</v>
      </c>
      <c r="Q165" s="1364">
        <f t="shared" si="101"/>
        <v>53803.094913968147</v>
      </c>
      <c r="R165" s="1364">
        <f t="shared" si="125"/>
        <v>40115.153244445071</v>
      </c>
      <c r="S165" s="1514">
        <f t="shared" si="102"/>
        <v>0.75603190045395818</v>
      </c>
      <c r="T165" s="135" t="str">
        <f t="shared" si="103"/>
        <v>Yes</v>
      </c>
      <c r="U165" s="1514">
        <f t="shared" si="104"/>
        <v>0.75603190045395818</v>
      </c>
      <c r="V165" s="1539">
        <f t="shared" si="96"/>
        <v>54903.845627097355</v>
      </c>
      <c r="W165" s="1540">
        <f t="shared" si="97"/>
        <v>0.42218033994103987</v>
      </c>
      <c r="X165" s="527">
        <f t="shared" si="105"/>
        <v>13687.941669523074</v>
      </c>
      <c r="Y165" s="1509">
        <f t="shared" si="106"/>
        <v>8005.094364949251</v>
      </c>
      <c r="Z165" s="1509">
        <f t="shared" si="107"/>
        <v>4989.8209734474995</v>
      </c>
      <c r="AA165" s="1509">
        <f t="shared" si="108"/>
        <v>0</v>
      </c>
      <c r="AB165" s="1509">
        <f t="shared" si="109"/>
        <v>28220.988619177533</v>
      </c>
      <c r="AC165" s="1509">
        <f t="shared" si="110"/>
        <v>54903.845627097355</v>
      </c>
      <c r="AD165" s="1535">
        <f t="shared" si="111"/>
        <v>0</v>
      </c>
      <c r="AE165" s="1504">
        <f t="shared" si="112"/>
        <v>0.24930752141645066</v>
      </c>
      <c r="AF165" s="1504">
        <f t="shared" si="113"/>
        <v>0.14580207039265025</v>
      </c>
      <c r="AG165" s="1504">
        <f t="shared" si="114"/>
        <v>9.088290476659823E-2</v>
      </c>
      <c r="AH165" s="1504">
        <f t="shared" si="126"/>
        <v>0</v>
      </c>
      <c r="AI165" s="1504">
        <f t="shared" si="115"/>
        <v>0.5140075034243009</v>
      </c>
      <c r="AJ165" s="1541">
        <f t="shared" si="116"/>
        <v>1</v>
      </c>
      <c r="AK165" s="1555">
        <f t="shared" si="117"/>
        <v>742.96184239009517</v>
      </c>
      <c r="AL165" s="1556">
        <f t="shared" si="118"/>
        <v>12211.073501948513</v>
      </c>
      <c r="AM165" s="1556">
        <f t="shared" si="119"/>
        <v>733.90632518446398</v>
      </c>
      <c r="AN165" s="1556">
        <f t="shared" si="120"/>
        <v>13687.941669523072</v>
      </c>
      <c r="AO165" s="1543">
        <f t="shared" si="121"/>
        <v>0</v>
      </c>
      <c r="AV165" s="561"/>
      <c r="AW165" s="561"/>
    </row>
    <row r="166" spans="1:49">
      <c r="A166" s="127">
        <f>'Input data'!A146</f>
        <v>2046</v>
      </c>
      <c r="B166" s="1551">
        <f>'Input data'!B146</f>
        <v>73.995362001779526</v>
      </c>
      <c r="C166" s="1550">
        <f>'Input data'!C146</f>
        <v>8018.9246673642956</v>
      </c>
      <c r="D166" s="1511">
        <f>'Input data'!D146</f>
        <v>1037510.1997812246</v>
      </c>
      <c r="E166" s="527">
        <f>'Input data'!J146*C166</f>
        <v>96476.048551037893</v>
      </c>
      <c r="F166" s="1509">
        <f>'Input data'!L146</f>
        <v>97513.558750819124</v>
      </c>
      <c r="G166" s="1509">
        <f t="shared" si="132"/>
        <v>13687.941669523079</v>
      </c>
      <c r="H166" s="1509">
        <f t="shared" si="95"/>
        <v>42644.35566660919</v>
      </c>
      <c r="I166" s="1511">
        <f t="shared" si="98"/>
        <v>1037.5101997812246</v>
      </c>
      <c r="J166" s="1454">
        <f t="shared" si="131"/>
        <v>0.4</v>
      </c>
      <c r="K166" s="1512">
        <f t="shared" si="123"/>
        <v>351.14767334653646</v>
      </c>
      <c r="L166" s="1512">
        <f t="shared" si="99"/>
        <v>0</v>
      </c>
      <c r="M166" s="1511">
        <f t="shared" si="124"/>
        <v>351.14767334653646</v>
      </c>
      <c r="N166" s="1454">
        <f t="shared" si="130"/>
        <v>0.5</v>
      </c>
      <c r="O166" s="530">
        <f t="shared" si="100"/>
        <v>751.91700000000026</v>
      </c>
      <c r="P166" s="1210">
        <f t="shared" si="127"/>
        <v>1103.0646733465367</v>
      </c>
      <c r="Q166" s="1364">
        <f t="shared" si="101"/>
        <v>55229.232662785733</v>
      </c>
      <c r="R166" s="1364">
        <f t="shared" si="125"/>
        <v>41541.29099326265</v>
      </c>
      <c r="S166" s="1514">
        <f t="shared" si="102"/>
        <v>0.76073578518965335</v>
      </c>
      <c r="T166" s="135" t="str">
        <f t="shared" si="103"/>
        <v>Yes</v>
      </c>
      <c r="U166" s="1514">
        <f t="shared" si="104"/>
        <v>0.76073578518965335</v>
      </c>
      <c r="V166" s="1539">
        <f t="shared" si="96"/>
        <v>55972.267757556481</v>
      </c>
      <c r="W166" s="1540">
        <f t="shared" si="97"/>
        <v>0.42600528096215839</v>
      </c>
      <c r="X166" s="527">
        <f t="shared" si="105"/>
        <v>13687.941669523087</v>
      </c>
      <c r="Y166" s="1509">
        <f t="shared" si="106"/>
        <v>8140.6267187900776</v>
      </c>
      <c r="Z166" s="1509">
        <f t="shared" si="107"/>
        <v>5111.6211020205074</v>
      </c>
      <c r="AA166" s="1509">
        <f t="shared" si="108"/>
        <v>0</v>
      </c>
      <c r="AB166" s="1509">
        <f t="shared" si="109"/>
        <v>29032.078267222809</v>
      </c>
      <c r="AC166" s="1509">
        <f t="shared" si="110"/>
        <v>55972.267757556481</v>
      </c>
      <c r="AD166" s="1535">
        <f t="shared" si="111"/>
        <v>0</v>
      </c>
      <c r="AE166" s="1504">
        <f t="shared" si="112"/>
        <v>0.24454863484917777</v>
      </c>
      <c r="AF166" s="1504">
        <f t="shared" si="113"/>
        <v>0.14544035903728522</v>
      </c>
      <c r="AG166" s="1504">
        <f t="shared" si="114"/>
        <v>9.1324173681178358E-2</v>
      </c>
      <c r="AH166" s="1504">
        <f t="shared" si="126"/>
        <v>0</v>
      </c>
      <c r="AI166" s="1504">
        <f t="shared" si="115"/>
        <v>0.51868683243235869</v>
      </c>
      <c r="AJ166" s="1541">
        <f t="shared" si="116"/>
        <v>1</v>
      </c>
      <c r="AK166" s="1555">
        <f t="shared" si="117"/>
        <v>622.50611986873469</v>
      </c>
      <c r="AL166" s="1556">
        <f t="shared" si="118"/>
        <v>12319.822579750786</v>
      </c>
      <c r="AM166" s="1556">
        <f t="shared" si="119"/>
        <v>745.61296990356493</v>
      </c>
      <c r="AN166" s="1556">
        <f t="shared" si="120"/>
        <v>13687.941669523085</v>
      </c>
      <c r="AO166" s="1543">
        <f t="shared" si="121"/>
        <v>0</v>
      </c>
      <c r="AV166" s="561"/>
      <c r="AW166" s="561"/>
    </row>
    <row r="167" spans="1:49">
      <c r="A167" s="127">
        <f>'Input data'!A147</f>
        <v>2047</v>
      </c>
      <c r="B167" s="1551">
        <f>'Input data'!B147</f>
        <v>74.373096484110363</v>
      </c>
      <c r="C167" s="1550">
        <f>'Input data'!C147</f>
        <v>8179.7504647675678</v>
      </c>
      <c r="D167" s="1511">
        <f>'Input data'!D147</f>
        <v>836750.66224562365</v>
      </c>
      <c r="E167" s="527">
        <f>'Input data'!J147*C167</f>
        <v>98410.951057565282</v>
      </c>
      <c r="F167" s="1509">
        <f>'Input data'!L147</f>
        <v>99247.70171981091</v>
      </c>
      <c r="G167" s="1509">
        <f t="shared" si="132"/>
        <v>13687.941669523079</v>
      </c>
      <c r="H167" s="1509">
        <f t="shared" si="95"/>
        <v>43566.213258857504</v>
      </c>
      <c r="I167" s="1511">
        <f t="shared" si="98"/>
        <v>836.75066224562363</v>
      </c>
      <c r="J167" s="1454">
        <f t="shared" si="131"/>
        <v>0.4</v>
      </c>
      <c r="K167" s="1512">
        <f t="shared" si="123"/>
        <v>283.20015386902367</v>
      </c>
      <c r="L167" s="1512">
        <f t="shared" si="99"/>
        <v>0</v>
      </c>
      <c r="M167" s="1511">
        <f t="shared" si="124"/>
        <v>283.20015386902367</v>
      </c>
      <c r="N167" s="1454">
        <f t="shared" si="130"/>
        <v>0.5</v>
      </c>
      <c r="O167" s="530">
        <f t="shared" si="100"/>
        <v>751.91700000000026</v>
      </c>
      <c r="P167" s="1210">
        <f t="shared" si="127"/>
        <v>1035.1171538690239</v>
      </c>
      <c r="Q167" s="1364">
        <f t="shared" si="101"/>
        <v>56219.037774511555</v>
      </c>
      <c r="R167" s="1364">
        <f t="shared" si="125"/>
        <v>42531.096104988479</v>
      </c>
      <c r="S167" s="1514">
        <f t="shared" si="102"/>
        <v>0.76334163254526588</v>
      </c>
      <c r="T167" s="135" t="str">
        <f t="shared" si="103"/>
        <v>Yes</v>
      </c>
      <c r="U167" s="1514">
        <f t="shared" si="104"/>
        <v>0.76334163254526588</v>
      </c>
      <c r="V167" s="1539">
        <f t="shared" si="96"/>
        <v>56716.605614822438</v>
      </c>
      <c r="W167" s="1540">
        <f t="shared" si="97"/>
        <v>0.42853482113932728</v>
      </c>
      <c r="X167" s="527">
        <f t="shared" si="105"/>
        <v>13687.941669523076</v>
      </c>
      <c r="Y167" s="1509">
        <f t="shared" si="106"/>
        <v>8215.2662999135937</v>
      </c>
      <c r="Z167" s="1509">
        <f t="shared" si="107"/>
        <v>5199.0583729432956</v>
      </c>
      <c r="AA167" s="1509">
        <f t="shared" si="108"/>
        <v>0</v>
      </c>
      <c r="AB167" s="1509">
        <f t="shared" si="109"/>
        <v>29614.339272442474</v>
      </c>
      <c r="AC167" s="1509">
        <f t="shared" si="110"/>
        <v>56716.605614822438</v>
      </c>
      <c r="AD167" s="1535">
        <f t="shared" si="111"/>
        <v>0</v>
      </c>
      <c r="AE167" s="1504">
        <f t="shared" si="112"/>
        <v>0.24133922545509034</v>
      </c>
      <c r="AF167" s="1504">
        <f t="shared" si="113"/>
        <v>0.14484763696377836</v>
      </c>
      <c r="AG167" s="1504">
        <f t="shared" si="114"/>
        <v>9.1667304779335435E-2</v>
      </c>
      <c r="AH167" s="1504">
        <f t="shared" si="126"/>
        <v>0</v>
      </c>
      <c r="AI167" s="1504">
        <f t="shared" si="115"/>
        <v>0.52214583280179583</v>
      </c>
      <c r="AJ167" s="1541">
        <f t="shared" si="116"/>
        <v>1</v>
      </c>
      <c r="AK167" s="1555">
        <f t="shared" si="117"/>
        <v>502.0503973473742</v>
      </c>
      <c r="AL167" s="1556">
        <f t="shared" si="118"/>
        <v>12430.038976042559</v>
      </c>
      <c r="AM167" s="1556">
        <f t="shared" si="119"/>
        <v>755.85229613314323</v>
      </c>
      <c r="AN167" s="1556">
        <f t="shared" si="120"/>
        <v>13687.941669523076</v>
      </c>
      <c r="AO167" s="1543">
        <f t="shared" si="121"/>
        <v>0</v>
      </c>
      <c r="AV167" s="561"/>
      <c r="AW167" s="561"/>
    </row>
    <row r="168" spans="1:49">
      <c r="A168" s="127">
        <f>'Input data'!A148</f>
        <v>2048</v>
      </c>
      <c r="B168" s="1551">
        <f>'Input data'!B148</f>
        <v>74.752759240528661</v>
      </c>
      <c r="C168" s="1550">
        <f>'Input data'!C148</f>
        <v>8346.3110427603078</v>
      </c>
      <c r="D168" s="1511">
        <f>'Input data'!D148</f>
        <v>635991.12471002259</v>
      </c>
      <c r="E168" s="527">
        <f>'Input data'!J148*C168</f>
        <v>100414.84897102432</v>
      </c>
      <c r="F168" s="1509">
        <f>'Input data'!L148</f>
        <v>101050.84009573434</v>
      </c>
      <c r="G168" s="1509">
        <f t="shared" si="132"/>
        <v>13687.941669523079</v>
      </c>
      <c r="H168" s="1509">
        <f t="shared" si="95"/>
        <v>44527.660906832505</v>
      </c>
      <c r="I168" s="1511">
        <f t="shared" si="98"/>
        <v>635.99112471002263</v>
      </c>
      <c r="J168" s="1454">
        <f t="shared" si="131"/>
        <v>0.4</v>
      </c>
      <c r="K168" s="1512">
        <f t="shared" si="123"/>
        <v>215.25263439151087</v>
      </c>
      <c r="L168" s="1512">
        <f t="shared" si="99"/>
        <v>0</v>
      </c>
      <c r="M168" s="1511">
        <f t="shared" si="124"/>
        <v>215.25263439151087</v>
      </c>
      <c r="N168" s="1454">
        <f t="shared" si="130"/>
        <v>0.5</v>
      </c>
      <c r="O168" s="530">
        <f t="shared" si="100"/>
        <v>751.91700000000026</v>
      </c>
      <c r="P168" s="1210">
        <f t="shared" si="127"/>
        <v>967.16963439151118</v>
      </c>
      <c r="Q168" s="1364">
        <f t="shared" si="101"/>
        <v>57248.432941964071</v>
      </c>
      <c r="R168" s="1364">
        <f t="shared" si="125"/>
        <v>43560.491272440995</v>
      </c>
      <c r="S168" s="1514">
        <f t="shared" si="102"/>
        <v>0.76600867218625601</v>
      </c>
      <c r="T168" s="135" t="str">
        <f t="shared" si="103"/>
        <v>Yes</v>
      </c>
      <c r="U168" s="1514">
        <f t="shared" si="104"/>
        <v>0.76600867218625601</v>
      </c>
      <c r="V168" s="1539">
        <f t="shared" si="96"/>
        <v>57490.34882329336</v>
      </c>
      <c r="W168" s="1540">
        <f t="shared" si="97"/>
        <v>0.43107500374239638</v>
      </c>
      <c r="X168" s="527">
        <f t="shared" si="105"/>
        <v>13687.941669523076</v>
      </c>
      <c r="Y168" s="1509">
        <f t="shared" si="106"/>
        <v>8295.4309049759559</v>
      </c>
      <c r="Z168" s="1509">
        <f t="shared" si="107"/>
        <v>5289.613511597383</v>
      </c>
      <c r="AA168" s="1509">
        <f t="shared" si="108"/>
        <v>0</v>
      </c>
      <c r="AB168" s="1509">
        <f t="shared" si="109"/>
        <v>30217.362737196945</v>
      </c>
      <c r="AC168" s="1509">
        <f t="shared" si="110"/>
        <v>57490.34882329336</v>
      </c>
      <c r="AD168" s="1535">
        <f t="shared" si="111"/>
        <v>0</v>
      </c>
      <c r="AE168" s="1504">
        <f t="shared" si="112"/>
        <v>0.23809112224375883</v>
      </c>
      <c r="AF168" s="1504">
        <f t="shared" si="113"/>
        <v>0.14429258257718028</v>
      </c>
      <c r="AG168" s="1504">
        <f t="shared" si="114"/>
        <v>9.2008721809219401E-2</v>
      </c>
      <c r="AH168" s="1504">
        <f t="shared" si="126"/>
        <v>0</v>
      </c>
      <c r="AI168" s="1504">
        <f t="shared" si="115"/>
        <v>0.52560757336984154</v>
      </c>
      <c r="AJ168" s="1541">
        <f t="shared" si="116"/>
        <v>1</v>
      </c>
      <c r="AK168" s="1555">
        <f t="shared" si="117"/>
        <v>381.59467482601355</v>
      </c>
      <c r="AL168" s="1556">
        <f t="shared" si="118"/>
        <v>12540.212575874844</v>
      </c>
      <c r="AM168" s="1556">
        <f t="shared" si="119"/>
        <v>766.1344188222148</v>
      </c>
      <c r="AN168" s="1556">
        <f t="shared" si="120"/>
        <v>13687.941669523074</v>
      </c>
      <c r="AO168" s="1543">
        <f t="shared" si="121"/>
        <v>0</v>
      </c>
      <c r="AV168" s="561"/>
      <c r="AW168" s="561"/>
    </row>
    <row r="169" spans="1:49">
      <c r="A169" s="127">
        <f>'Input data'!A149</f>
        <v>2049</v>
      </c>
      <c r="B169" s="662">
        <f>'Input data'!B149</f>
        <v>75.134360114565098</v>
      </c>
      <c r="C169" s="236">
        <f>'Input data'!C149</f>
        <v>8507.9647859669603</v>
      </c>
      <c r="D169" s="1511">
        <f>'Input data'!D149</f>
        <v>435231.58717442153</v>
      </c>
      <c r="E169" s="527">
        <f>'Input data'!J149*C169</f>
        <v>102359.71253128871</v>
      </c>
      <c r="F169" s="528">
        <f>'Input data'!L149</f>
        <v>102794.94411846313</v>
      </c>
      <c r="G169" s="528">
        <f t="shared" si="132"/>
        <v>13687.941669523079</v>
      </c>
      <c r="H169" s="528">
        <f t="shared" si="95"/>
        <v>45455.234222635205</v>
      </c>
      <c r="I169" s="530">
        <f t="shared" si="98"/>
        <v>435.23158717442152</v>
      </c>
      <c r="J169" s="649">
        <f t="shared" si="131"/>
        <v>0.4</v>
      </c>
      <c r="K169" s="775">
        <f t="shared" si="123"/>
        <v>147.30511491399807</v>
      </c>
      <c r="L169" s="775">
        <f t="shared" si="99"/>
        <v>0</v>
      </c>
      <c r="M169" s="530">
        <f t="shared" si="124"/>
        <v>147.30511491399807</v>
      </c>
      <c r="N169" s="649">
        <f t="shared" si="130"/>
        <v>0.5</v>
      </c>
      <c r="O169" s="530">
        <f t="shared" si="100"/>
        <v>751.91700000000026</v>
      </c>
      <c r="P169" s="1210">
        <f t="shared" si="127"/>
        <v>899.22211491399833</v>
      </c>
      <c r="Q169" s="1364">
        <f t="shared" si="101"/>
        <v>58243.953777244293</v>
      </c>
      <c r="R169" s="1364">
        <f t="shared" si="125"/>
        <v>44556.01210772121</v>
      </c>
      <c r="S169" s="1514">
        <f t="shared" si="102"/>
        <v>0.76843478955348543</v>
      </c>
      <c r="T169" s="135" t="str">
        <f t="shared" si="103"/>
        <v>Yes</v>
      </c>
      <c r="U169" s="1514">
        <f t="shared" si="104"/>
        <v>0.76843478955348543</v>
      </c>
      <c r="V169" s="1539">
        <f t="shared" si="96"/>
        <v>58238.932010741941</v>
      </c>
      <c r="W169" s="1540">
        <f t="shared" si="97"/>
        <v>0.43344555989420908</v>
      </c>
      <c r="X169" s="527">
        <f t="shared" si="105"/>
        <v>13687.941669523083</v>
      </c>
      <c r="Y169" s="1509">
        <f t="shared" si="106"/>
        <v>8370.8681487671874</v>
      </c>
      <c r="Z169" s="1509">
        <f t="shared" si="107"/>
        <v>5377.5009175276673</v>
      </c>
      <c r="AA169" s="1509">
        <f t="shared" si="108"/>
        <v>0</v>
      </c>
      <c r="AB169" s="1509">
        <f t="shared" si="109"/>
        <v>30802.621274924004</v>
      </c>
      <c r="AC169" s="1509">
        <f t="shared" si="110"/>
        <v>58238.932010741941</v>
      </c>
      <c r="AD169" s="1535">
        <f t="shared" si="111"/>
        <v>0</v>
      </c>
      <c r="AE169" s="1504">
        <f t="shared" si="112"/>
        <v>0.23503078090440252</v>
      </c>
      <c r="AF169" s="1504">
        <f t="shared" si="113"/>
        <v>0.14373320148149718</v>
      </c>
      <c r="AG169" s="1504">
        <f t="shared" si="114"/>
        <v>9.2335156773407326E-2</v>
      </c>
      <c r="AH169" s="1504">
        <f t="shared" si="126"/>
        <v>0</v>
      </c>
      <c r="AI169" s="1504">
        <f t="shared" si="115"/>
        <v>0.52890086084069299</v>
      </c>
      <c r="AJ169" s="1541">
        <f t="shared" si="116"/>
        <v>1</v>
      </c>
      <c r="AK169" s="1555">
        <f t="shared" si="117"/>
        <v>261.13895230465289</v>
      </c>
      <c r="AL169" s="1556">
        <f t="shared" si="118"/>
        <v>12650.554671135385</v>
      </c>
      <c r="AM169" s="1556">
        <f t="shared" si="119"/>
        <v>776.24804608304385</v>
      </c>
      <c r="AN169" s="1556">
        <f t="shared" si="120"/>
        <v>13687.941669523083</v>
      </c>
      <c r="AO169" s="1543">
        <f t="shared" si="121"/>
        <v>0</v>
      </c>
      <c r="AV169" s="561"/>
      <c r="AW169" s="561"/>
    </row>
    <row r="170" spans="1:49" ht="15.75" thickBot="1">
      <c r="A170" s="172">
        <f>'Input data'!A150</f>
        <v>2050</v>
      </c>
      <c r="B170" s="664">
        <f>'Input data'!B150</f>
        <v>75.517908999999989</v>
      </c>
      <c r="C170" s="239">
        <f>'Input data'!C150</f>
        <v>8670.5902188603068</v>
      </c>
      <c r="D170" s="1520">
        <f>'Input data'!D150</f>
        <v>234472.04963882058</v>
      </c>
      <c r="E170" s="670">
        <f>'Input data'!J150*C170</f>
        <v>104316.26653450882</v>
      </c>
      <c r="F170" s="667">
        <f>'Input data'!L150</f>
        <v>104550.73858414764</v>
      </c>
      <c r="G170" s="667">
        <f t="shared" si="132"/>
        <v>13687.941669523079</v>
      </c>
      <c r="H170" s="667">
        <f t="shared" si="95"/>
        <v>46389.515597838807</v>
      </c>
      <c r="I170" s="659">
        <f t="shared" si="98"/>
        <v>234.47204963882058</v>
      </c>
      <c r="J170" s="650">
        <f t="shared" si="131"/>
        <v>0.4</v>
      </c>
      <c r="K170" s="667">
        <f t="shared" si="123"/>
        <v>79.357595436485283</v>
      </c>
      <c r="L170" s="667">
        <f t="shared" si="99"/>
        <v>0</v>
      </c>
      <c r="M170" s="659">
        <f t="shared" si="124"/>
        <v>79.357595436485283</v>
      </c>
      <c r="N170" s="650">
        <f t="shared" si="130"/>
        <v>0.5</v>
      </c>
      <c r="O170" s="659">
        <f t="shared" si="100"/>
        <v>751.91700000000026</v>
      </c>
      <c r="P170" s="1692">
        <f t="shared" si="127"/>
        <v>831.27459543648558</v>
      </c>
      <c r="Q170" s="1485">
        <f t="shared" si="101"/>
        <v>59246.182671925395</v>
      </c>
      <c r="R170" s="1485">
        <f t="shared" si="125"/>
        <v>45558.241002402312</v>
      </c>
      <c r="S170" s="1523">
        <f t="shared" si="102"/>
        <v>0.77079529709412087</v>
      </c>
      <c r="T170" s="1105" t="str">
        <f t="shared" si="103"/>
        <v>Yes</v>
      </c>
      <c r="U170" s="1523">
        <f t="shared" si="104"/>
        <v>0.77079529709412087</v>
      </c>
      <c r="V170" s="1544">
        <f t="shared" si="96"/>
        <v>58992.497581745331</v>
      </c>
      <c r="W170" s="1545">
        <f t="shared" si="97"/>
        <v>0.43575245492632042</v>
      </c>
      <c r="X170" s="670">
        <f t="shared" si="105"/>
        <v>13687.941669523078</v>
      </c>
      <c r="Y170" s="1518">
        <f t="shared" si="106"/>
        <v>8447.2415415001888</v>
      </c>
      <c r="Z170" s="1518">
        <f t="shared" si="107"/>
        <v>5465.916608694276</v>
      </c>
      <c r="AA170" s="1518">
        <f t="shared" si="108"/>
        <v>0</v>
      </c>
      <c r="AB170" s="1518">
        <f t="shared" si="109"/>
        <v>31391.397762027791</v>
      </c>
      <c r="AC170" s="1518">
        <f t="shared" si="110"/>
        <v>58992.497581745331</v>
      </c>
      <c r="AD170" s="1546">
        <f t="shared" si="111"/>
        <v>0</v>
      </c>
      <c r="AE170" s="1521">
        <f t="shared" si="112"/>
        <v>0.23202851600842683</v>
      </c>
      <c r="AF170" s="1521">
        <f t="shared" si="113"/>
        <v>0.1431917936648627</v>
      </c>
      <c r="AG170" s="1521">
        <f t="shared" si="114"/>
        <v>9.2654436288618025E-2</v>
      </c>
      <c r="AH170" s="1521">
        <f t="shared" si="126"/>
        <v>0</v>
      </c>
      <c r="AI170" s="1521">
        <f>AB170/AC170</f>
        <v>0.53212525403809252</v>
      </c>
      <c r="AJ170" s="1547">
        <f t="shared" si="116"/>
        <v>1</v>
      </c>
      <c r="AK170" s="1639">
        <f t="shared" si="117"/>
        <v>140.68322978329235</v>
      </c>
      <c r="AL170" s="1640">
        <f t="shared" si="118"/>
        <v>12760.942652380865</v>
      </c>
      <c r="AM170" s="1640">
        <f t="shared" si="119"/>
        <v>786.31578735891821</v>
      </c>
      <c r="AN170" s="1640">
        <f t="shared" si="120"/>
        <v>13687.941669523076</v>
      </c>
      <c r="AO170" s="1548">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3" t="s">
        <v>602</v>
      </c>
      <c r="B174" s="1874"/>
      <c r="C174" s="1874"/>
      <c r="D174" s="1875"/>
      <c r="E174" s="1805" t="s">
        <v>603</v>
      </c>
      <c r="F174" s="1806"/>
      <c r="G174" s="1806"/>
      <c r="H174" s="1806"/>
      <c r="I174" s="1807"/>
      <c r="J174" s="1822" t="s">
        <v>604</v>
      </c>
      <c r="K174" s="1823"/>
      <c r="L174" s="1824"/>
      <c r="M174" s="1825" t="s">
        <v>757</v>
      </c>
      <c r="N174" s="1808" t="s">
        <v>607</v>
      </c>
      <c r="O174" s="1897"/>
      <c r="P174" s="1895" t="s">
        <v>594</v>
      </c>
      <c r="Q174" s="1814" t="s">
        <v>765</v>
      </c>
      <c r="R174" s="1814" t="s">
        <v>768</v>
      </c>
      <c r="S174" s="1814" t="s">
        <v>767</v>
      </c>
      <c r="T174" s="1838" t="s">
        <v>769</v>
      </c>
      <c r="U174" s="1836" t="s">
        <v>770</v>
      </c>
      <c r="V174" s="1812" t="s">
        <v>760</v>
      </c>
      <c r="W174" s="1834" t="s">
        <v>761</v>
      </c>
      <c r="X174" s="1929" t="s">
        <v>592</v>
      </c>
      <c r="Y174" s="1846"/>
      <c r="Z174" s="1846"/>
      <c r="AA174" s="1846"/>
      <c r="AB174" s="1846"/>
      <c r="AC174" s="1846"/>
      <c r="AD174" s="1846"/>
      <c r="AE174" s="1846"/>
      <c r="AF174" s="1846"/>
      <c r="AG174" s="1846"/>
      <c r="AH174" s="1846"/>
      <c r="AI174" s="1846"/>
      <c r="AJ174" s="1846"/>
      <c r="AK174" s="1913" t="s">
        <v>723</v>
      </c>
      <c r="AL174" s="1914"/>
      <c r="AM174" s="1914"/>
      <c r="AN174" s="1914"/>
      <c r="AO174" s="1915"/>
    </row>
    <row r="175" spans="1:49" ht="37.9" customHeight="1">
      <c r="A175" s="1868" t="s">
        <v>217</v>
      </c>
      <c r="B175" s="703" t="s">
        <v>218</v>
      </c>
      <c r="C175" s="703" t="s">
        <v>390</v>
      </c>
      <c r="D175" s="469" t="s">
        <v>630</v>
      </c>
      <c r="E175" s="704" t="s">
        <v>779</v>
      </c>
      <c r="F175" s="704" t="s">
        <v>780</v>
      </c>
      <c r="G175" s="704" t="s">
        <v>764</v>
      </c>
      <c r="H175" s="705" t="s">
        <v>597</v>
      </c>
      <c r="I175" s="705" t="s">
        <v>626</v>
      </c>
      <c r="J175" s="1461" t="s">
        <v>326</v>
      </c>
      <c r="K175" s="1461" t="s">
        <v>758</v>
      </c>
      <c r="L175" s="706" t="s">
        <v>759</v>
      </c>
      <c r="M175" s="1826"/>
      <c r="N175" s="508" t="s">
        <v>605</v>
      </c>
      <c r="O175" s="559" t="s">
        <v>606</v>
      </c>
      <c r="P175" s="1896"/>
      <c r="Q175" s="1815"/>
      <c r="R175" s="1815"/>
      <c r="S175" s="1815"/>
      <c r="T175" s="1839"/>
      <c r="U175" s="1837"/>
      <c r="V175" s="1813"/>
      <c r="W175" s="1835"/>
      <c r="X175" s="1464" t="s">
        <v>473</v>
      </c>
      <c r="Y175" s="1465" t="s">
        <v>489</v>
      </c>
      <c r="Z175" s="1636" t="s">
        <v>807</v>
      </c>
      <c r="AA175" s="1465" t="s">
        <v>377</v>
      </c>
      <c r="AB175" s="1465" t="s">
        <v>477</v>
      </c>
      <c r="AC175" s="1465" t="s">
        <v>225</v>
      </c>
      <c r="AD175" s="713" t="s">
        <v>617</v>
      </c>
      <c r="AE175" s="1092" t="s">
        <v>473</v>
      </c>
      <c r="AF175" s="1465" t="s">
        <v>489</v>
      </c>
      <c r="AG175" s="1636" t="s">
        <v>807</v>
      </c>
      <c r="AH175" s="1465" t="s">
        <v>377</v>
      </c>
      <c r="AI175" s="1465" t="s">
        <v>477</v>
      </c>
      <c r="AJ175" s="718" t="s">
        <v>225</v>
      </c>
      <c r="AK175" s="189" t="s">
        <v>724</v>
      </c>
      <c r="AL175" s="712" t="s">
        <v>493</v>
      </c>
      <c r="AM175" s="712" t="s">
        <v>725</v>
      </c>
      <c r="AN175" s="712" t="s">
        <v>225</v>
      </c>
      <c r="AO175" s="1183" t="s">
        <v>617</v>
      </c>
    </row>
    <row r="176" spans="1:49" ht="36" customHeight="1" thickBot="1">
      <c r="A176" s="1862"/>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3">
        <f>'Input data'!E117</f>
        <v>49995051</v>
      </c>
      <c r="E177" s="956">
        <f>'Input data'!J117*C177</f>
        <v>37506.923384615395</v>
      </c>
      <c r="F177" s="957">
        <f>'Input data'!L117</f>
        <v>87501.974384615402</v>
      </c>
      <c r="G177" s="1373">
        <f>F177*B11</f>
        <v>68439.708347615408</v>
      </c>
      <c r="H177" s="1502">
        <f t="shared" ref="H177" si="133">E177*$B$12+I177*$E$80-G177</f>
        <v>0</v>
      </c>
      <c r="I177" s="1503">
        <f>D177/1000</f>
        <v>49995.050999999999</v>
      </c>
      <c r="J177" s="417">
        <f>H17</f>
        <v>6.154773859516615E-2</v>
      </c>
      <c r="K177" s="1501">
        <f>(I177)*J177-(I177)*$J$137</f>
        <v>0</v>
      </c>
      <c r="L177" s="1501">
        <f>(E177)*$C$12*$G$12-(E177)*$C$12*$G$12</f>
        <v>0</v>
      </c>
      <c r="M177" s="1503">
        <f>L177+K177</f>
        <v>0</v>
      </c>
      <c r="N177" s="708">
        <v>0</v>
      </c>
      <c r="O177" s="1467">
        <f>N177*$E$177*($C$85)*$B$12</f>
        <v>0</v>
      </c>
      <c r="P177" s="1691">
        <f>O177+M177</f>
        <v>0</v>
      </c>
      <c r="Q177" s="1484">
        <f>E177*$B$12+(1-$J$137)*I177-P177</f>
        <v>68439.708347615408</v>
      </c>
      <c r="R177" s="1484">
        <f>Q177-G177</f>
        <v>0</v>
      </c>
      <c r="S177" s="1218">
        <f>R177/(Q177-I177*(1-J177))</f>
        <v>0</v>
      </c>
      <c r="T177" s="1489" t="str">
        <f>IF(AND(S177&gt;=0,S177&lt;=1),"Yes","No")</f>
        <v>Yes</v>
      </c>
      <c r="U177" s="1524">
        <f>IF(S177&lt;=0,0,IF(S177&gt;=1,1,S177))</f>
        <v>0</v>
      </c>
      <c r="V177" s="1493">
        <f t="shared" ref="V177:V210" si="134">AC177</f>
        <v>87501.974384615402</v>
      </c>
      <c r="W177" s="1525">
        <f t="shared" ref="W177:W210" si="135">(1-V177/F177)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1511">
        <f>'Input data'!E118</f>
        <v>50359792.847133137</v>
      </c>
      <c r="E178" s="527">
        <f>'Input data'!J118*C178</f>
        <v>37946.363119089809</v>
      </c>
      <c r="F178" s="528">
        <f>'Input data'!L118</f>
        <v>88306.155966222956</v>
      </c>
      <c r="G178" s="938">
        <f>G177*0.94</f>
        <v>64333.325846758482</v>
      </c>
      <c r="H178" s="1509">
        <f>E178*$B$12+I178*$E$80-G178</f>
        <v>4700.8289604658348</v>
      </c>
      <c r="I178" s="1511">
        <f t="shared" ref="I178:I210" si="136">D178/1000</f>
        <v>50359.79284713314</v>
      </c>
      <c r="J178" s="649">
        <f>($J$190-$J$177)/($A$190-$A$177)+J177</f>
        <v>8.7582527933999524E-2</v>
      </c>
      <c r="K178" s="1512">
        <f>(I178)*J178-(I178)*$J$137</f>
        <v>1311.106597922399</v>
      </c>
      <c r="L178" s="1512">
        <f t="shared" ref="L178:L210" si="137">(E178)*$C$12*$G$12-(E178)*$C$12*$G$12</f>
        <v>0</v>
      </c>
      <c r="M178" s="1511">
        <f>L178+K178</f>
        <v>1311.106597922399</v>
      </c>
      <c r="N178" s="649">
        <v>0.05</v>
      </c>
      <c r="O178" s="530">
        <f t="shared" ref="O178:O210" si="138">N178*$E$177*($C$85)*$B$12</f>
        <v>75.191700000000026</v>
      </c>
      <c r="P178" s="1210">
        <f>O178+M178</f>
        <v>1386.2982979223991</v>
      </c>
      <c r="Q178" s="1364">
        <f t="shared" ref="Q178:Q210" si="139">E178*$B$12+(1-$J$137)*I178-P178</f>
        <v>67647.856509301913</v>
      </c>
      <c r="R178" s="1364">
        <f>Q178-G178</f>
        <v>3314.5306625434314</v>
      </c>
      <c r="S178" s="576">
        <f t="shared" ref="S178:S210" si="140">R178/(Q178-I178*(1-J178))</f>
        <v>0.15275248812947445</v>
      </c>
      <c r="T178" s="135" t="str">
        <f t="shared" ref="T178:T210" si="141">IF(AND(S178&gt;=0,S178&lt;=1),"Yes","No")</f>
        <v>Yes</v>
      </c>
      <c r="U178" s="1526">
        <f t="shared" ref="U178:U210" si="142">IF(S178&lt;=0,0,IF(S178&gt;=1,1,S178))</f>
        <v>0.15275248812947445</v>
      </c>
      <c r="V178" s="1494">
        <f t="shared" si="134"/>
        <v>84991.625303679524</v>
      </c>
      <c r="W178" s="1527">
        <f t="shared" si="135"/>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873">
        <f>'Input data'!A119</f>
        <v>2019</v>
      </c>
      <c r="B179" s="1551">
        <f>'Input data'!B119</f>
        <v>58.364834921819444</v>
      </c>
      <c r="C179" s="1550">
        <f>'Input data'!C119</f>
        <v>4436.7667702662829</v>
      </c>
      <c r="D179" s="1511">
        <f>'Input data'!E119</f>
        <v>53495734.497914702</v>
      </c>
      <c r="E179" s="1508">
        <f>'Input data'!J119*C179</f>
        <v>53378.943448602397</v>
      </c>
      <c r="F179" s="1509">
        <f>'Input data'!L119</f>
        <v>106874.6779465171</v>
      </c>
      <c r="G179" s="1557">
        <f>G177*0.89</f>
        <v>60911.340429377713</v>
      </c>
      <c r="H179" s="1509">
        <f t="shared" ref="H179:H210" si="160">E179*$B$12+I179*$E$80-G179</f>
        <v>19921.070380681893</v>
      </c>
      <c r="I179" s="1511">
        <f t="shared" si="136"/>
        <v>53495.734497914702</v>
      </c>
      <c r="J179" s="1454">
        <f t="shared" ref="J179:J189" si="161">($J$190-$J$177)/($A$190-$A$177)+J178</f>
        <v>0.11361731727283289</v>
      </c>
      <c r="K179" s="1512">
        <f t="shared" ref="K179:K210" si="162">(I179)*J179-(I179)*$J$137</f>
        <v>2785.5003563587402</v>
      </c>
      <c r="L179" s="1512">
        <f t="shared" si="137"/>
        <v>0</v>
      </c>
      <c r="M179" s="1511">
        <f t="shared" ref="M179:M210" si="163">L179+K179</f>
        <v>2785.5003563587402</v>
      </c>
      <c r="N179" s="1454">
        <v>0.1</v>
      </c>
      <c r="O179" s="530">
        <f t="shared" si="138"/>
        <v>150.38340000000005</v>
      </c>
      <c r="P179" s="1210">
        <f>O179+M179</f>
        <v>2935.8837563587404</v>
      </c>
      <c r="Q179" s="1364">
        <f t="shared" si="139"/>
        <v>77896.527053700862</v>
      </c>
      <c r="R179" s="1364">
        <f t="shared" ref="R179:R210" si="164">Q179-G179</f>
        <v>16985.186624323149</v>
      </c>
      <c r="S179" s="576">
        <f t="shared" si="140"/>
        <v>0.55727809023829544</v>
      </c>
      <c r="T179" s="135" t="str">
        <f t="shared" si="141"/>
        <v>Yes</v>
      </c>
      <c r="U179" s="1526">
        <f t="shared" si="142"/>
        <v>0.55727809023829544</v>
      </c>
      <c r="V179" s="1494">
        <f t="shared" si="134"/>
        <v>89889.49132219395</v>
      </c>
      <c r="W179" s="1527">
        <f t="shared" si="135"/>
        <v>0.1589262017034847</v>
      </c>
      <c r="X179" s="527">
        <f t="shared" si="143"/>
        <v>60911.340429377713</v>
      </c>
      <c r="Y179" s="1509">
        <f t="shared" si="144"/>
        <v>10352.528410102976</v>
      </c>
      <c r="Z179" s="1531">
        <f t="shared" si="145"/>
        <v>2562.551002317176</v>
      </c>
      <c r="AA179" s="1531">
        <f t="shared" si="146"/>
        <v>0</v>
      </c>
      <c r="AB179" s="1531">
        <f t="shared" si="147"/>
        <v>16063.071480396085</v>
      </c>
      <c r="AC179" s="1531">
        <f t="shared" si="148"/>
        <v>89889.49132219395</v>
      </c>
      <c r="AD179" s="1487">
        <f t="shared" si="149"/>
        <v>0</v>
      </c>
      <c r="AE179" s="649">
        <f t="shared" si="150"/>
        <v>0.67762470933394348</v>
      </c>
      <c r="AF179" s="417">
        <f t="shared" si="151"/>
        <v>0.11516950711174966</v>
      </c>
      <c r="AG179" s="417">
        <f t="shared" si="152"/>
        <v>2.8507792897972218E-2</v>
      </c>
      <c r="AH179" s="417">
        <f t="shared" ref="AH179:AH210" si="165">AA179/AC179</f>
        <v>0</v>
      </c>
      <c r="AI179" s="417">
        <f t="shared" si="153"/>
        <v>0.1786979906563346</v>
      </c>
      <c r="AJ179" s="417">
        <f t="shared" si="154"/>
        <v>1</v>
      </c>
      <c r="AK179" s="1497">
        <f t="shared" si="155"/>
        <v>47417.692658721899</v>
      </c>
      <c r="AL179" s="1498">
        <f t="shared" si="156"/>
        <v>12612.703481765626</v>
      </c>
      <c r="AM179" s="1498">
        <f t="shared" si="157"/>
        <v>880.94428889018752</v>
      </c>
      <c r="AN179" s="1498">
        <f t="shared" si="158"/>
        <v>60911.340429377713</v>
      </c>
      <c r="AO179" s="1184">
        <f t="shared" si="159"/>
        <v>0</v>
      </c>
    </row>
    <row r="180" spans="1:41">
      <c r="A180" s="873">
        <f>'Input data'!A120</f>
        <v>2020</v>
      </c>
      <c r="B180" s="1551">
        <f>'Input data'!B120</f>
        <v>59.308690000000006</v>
      </c>
      <c r="C180" s="1550">
        <f>'Input data'!C120</f>
        <v>4156.6412676508144</v>
      </c>
      <c r="D180" s="1511">
        <f>'Input data'!E120</f>
        <v>51132056.241912685</v>
      </c>
      <c r="E180" s="1508">
        <f>'Input data'!J120*C180</f>
        <v>50008.740745401708</v>
      </c>
      <c r="F180" s="1509">
        <f>'Input data'!L120</f>
        <v>101140.79698731439</v>
      </c>
      <c r="G180" s="1557">
        <f>G177*0.81</f>
        <v>55436.163761568481</v>
      </c>
      <c r="H180" s="1509">
        <f t="shared" si="160"/>
        <v>21244.201537850815</v>
      </c>
      <c r="I180" s="1511">
        <f t="shared" si="136"/>
        <v>51132.056241912687</v>
      </c>
      <c r="J180" s="1454">
        <f t="shared" si="161"/>
        <v>0.13965210661166627</v>
      </c>
      <c r="K180" s="1512">
        <f>(I180)*J180-(I180)*$J$177</f>
        <v>3993.6369381587306</v>
      </c>
      <c r="L180" s="1512">
        <f t="shared" si="137"/>
        <v>0</v>
      </c>
      <c r="M180" s="1511">
        <f t="shared" si="163"/>
        <v>3993.6369381587306</v>
      </c>
      <c r="N180" s="1454">
        <f>($N$142-$N$137)/($A$102-$A$97)+N179</f>
        <v>0.2</v>
      </c>
      <c r="O180" s="530">
        <f t="shared" si="138"/>
        <v>300.7668000000001</v>
      </c>
      <c r="P180" s="1210">
        <f t="shared" ref="P180:P210" si="166">O180+M180</f>
        <v>4294.4037381587304</v>
      </c>
      <c r="Q180" s="1364">
        <f t="shared" si="139"/>
        <v>72385.96156126057</v>
      </c>
      <c r="R180" s="1364">
        <f t="shared" si="164"/>
        <v>16949.797799692089</v>
      </c>
      <c r="S180" s="576">
        <f>R180/(Q180-I180*(1-J180))</f>
        <v>0.59693726978730677</v>
      </c>
      <c r="T180" s="135" t="str">
        <f t="shared" si="141"/>
        <v>Yes</v>
      </c>
      <c r="U180" s="1526">
        <f>IF(S180&lt;=0,0,IF(S180&gt;=1,1,S180))</f>
        <v>0.59693726978730677</v>
      </c>
      <c r="V180" s="1494">
        <f>AC180</f>
        <v>84190.999187622321</v>
      </c>
      <c r="W180" s="1527">
        <f t="shared" si="135"/>
        <v>0.16758616013099048</v>
      </c>
      <c r="X180" s="527">
        <f>(E180*$B$12-O180-L180)*(1-U180)+I180*(1-J180)</f>
        <v>55436.163761568474</v>
      </c>
      <c r="Y180" s="1509">
        <f t="shared" si="144"/>
        <v>11145.306372519357</v>
      </c>
      <c r="Z180" s="1531">
        <f t="shared" si="145"/>
        <v>2560.6366375303887</v>
      </c>
      <c r="AA180" s="1531">
        <f t="shared" si="146"/>
        <v>0</v>
      </c>
      <c r="AB180" s="1531">
        <f>E180*$E$12</f>
        <v>15048.892416004092</v>
      </c>
      <c r="AC180" s="1531">
        <f>SUM(X180:AB180)</f>
        <v>84190.999187622321</v>
      </c>
      <c r="AD180" s="1487">
        <f t="shared" si="149"/>
        <v>0</v>
      </c>
      <c r="AE180" s="649">
        <f t="shared" si="150"/>
        <v>0.65845713076794843</v>
      </c>
      <c r="AF180" s="417">
        <f t="shared" si="151"/>
        <v>0.13238121034389538</v>
      </c>
      <c r="AG180" s="417">
        <f t="shared" si="152"/>
        <v>3.0414612752414642E-2</v>
      </c>
      <c r="AH180" s="417">
        <f t="shared" si="165"/>
        <v>0</v>
      </c>
      <c r="AI180" s="417">
        <f t="shared" si="153"/>
        <v>0.17874704613574138</v>
      </c>
      <c r="AJ180" s="417">
        <f t="shared" si="154"/>
        <v>0.99999999999999978</v>
      </c>
      <c r="AK180" s="1497">
        <f t="shared" si="155"/>
        <v>43991.356872343385</v>
      </c>
      <c r="AL180" s="1498">
        <f t="shared" si="156"/>
        <v>10757.856785463338</v>
      </c>
      <c r="AM180" s="1498">
        <f t="shared" si="157"/>
        <v>686.95010376176072</v>
      </c>
      <c r="AN180" s="1498">
        <f t="shared" si="158"/>
        <v>55436.163761568481</v>
      </c>
      <c r="AO180" s="1184">
        <f t="shared" si="159"/>
        <v>0</v>
      </c>
    </row>
    <row r="181" spans="1:41">
      <c r="A181" s="873">
        <f>'Input data'!A121</f>
        <v>2021</v>
      </c>
      <c r="B181" s="1551">
        <f>'Input data'!B121</f>
        <v>59.991580449204264</v>
      </c>
      <c r="C181" s="1550">
        <f>'Input data'!C121</f>
        <v>4293.1482366506107</v>
      </c>
      <c r="D181" s="1511">
        <f>'Input data'!E121</f>
        <v>51275503.644747034</v>
      </c>
      <c r="E181" s="1508">
        <f>'Input data'!J121*C181</f>
        <v>51651.062317816235</v>
      </c>
      <c r="F181" s="1509">
        <f>'Input data'!L121</f>
        <v>102926.56596256327</v>
      </c>
      <c r="G181" s="1557">
        <f>G177*0.65</f>
        <v>44485.810425950018</v>
      </c>
      <c r="H181" s="1509">
        <f t="shared" si="160"/>
        <v>33271.549224205002</v>
      </c>
      <c r="I181" s="1511">
        <f t="shared" si="136"/>
        <v>51275.503644747034</v>
      </c>
      <c r="J181" s="1454">
        <f t="shared" si="161"/>
        <v>0.16568689595049965</v>
      </c>
      <c r="K181" s="1512">
        <f t="shared" si="162"/>
        <v>5339.7877425342876</v>
      </c>
      <c r="L181" s="1512">
        <f t="shared" si="137"/>
        <v>0</v>
      </c>
      <c r="M181" s="1511">
        <f t="shared" si="163"/>
        <v>5339.7877425342876</v>
      </c>
      <c r="N181" s="1454">
        <v>0.4</v>
      </c>
      <c r="O181" s="530">
        <f t="shared" si="138"/>
        <v>601.53360000000021</v>
      </c>
      <c r="P181" s="1210">
        <f t="shared" si="166"/>
        <v>5941.3213425342874</v>
      </c>
      <c r="Q181" s="1364">
        <f t="shared" si="139"/>
        <v>71816.038307620736</v>
      </c>
      <c r="R181" s="1364">
        <f t="shared" si="164"/>
        <v>27330.227881670718</v>
      </c>
      <c r="S181" s="576">
        <f t="shared" si="140"/>
        <v>0.94124627143119832</v>
      </c>
      <c r="T181" s="135" t="str">
        <f t="shared" si="141"/>
        <v>Yes</v>
      </c>
      <c r="U181" s="1526">
        <f t="shared" si="142"/>
        <v>0.94124627143119832</v>
      </c>
      <c r="V181" s="1494">
        <f t="shared" si="134"/>
        <v>75596.338080892543</v>
      </c>
      <c r="W181" s="1527">
        <f t="shared" si="135"/>
        <v>0.26553132931308865</v>
      </c>
      <c r="X181" s="527">
        <f t="shared" si="143"/>
        <v>44485.810425950018</v>
      </c>
      <c r="Y181" s="1509">
        <f t="shared" si="144"/>
        <v>12631.80009892837</v>
      </c>
      <c r="Z181" s="1531">
        <f t="shared" si="145"/>
        <v>2935.6191232226211</v>
      </c>
      <c r="AA181" s="1531">
        <f t="shared" si="146"/>
        <v>0</v>
      </c>
      <c r="AB181" s="1531">
        <f t="shared" si="147"/>
        <v>15543.108432791545</v>
      </c>
      <c r="AC181" s="1531">
        <f t="shared" si="148"/>
        <v>75596.338080892543</v>
      </c>
      <c r="AD181" s="1005">
        <f t="shared" si="149"/>
        <v>0</v>
      </c>
      <c r="AE181" s="649">
        <f t="shared" si="150"/>
        <v>0.58846514996993071</v>
      </c>
      <c r="AF181" s="417">
        <f t="shared" si="151"/>
        <v>0.16709539667664322</v>
      </c>
      <c r="AG181" s="417">
        <f t="shared" si="152"/>
        <v>3.8832821770828835E-2</v>
      </c>
      <c r="AH181" s="417">
        <f t="shared" si="165"/>
        <v>0</v>
      </c>
      <c r="AI181" s="417">
        <f t="shared" si="153"/>
        <v>0.20560663158259732</v>
      </c>
      <c r="AJ181" s="417">
        <f t="shared" si="154"/>
        <v>1</v>
      </c>
      <c r="AK181" s="1497">
        <f t="shared" si="155"/>
        <v>42779.824607550363</v>
      </c>
      <c r="AL181" s="1498">
        <f t="shared" si="156"/>
        <v>1619.652657637936</v>
      </c>
      <c r="AM181" s="1498">
        <f t="shared" si="157"/>
        <v>86.333160761719043</v>
      </c>
      <c r="AN181" s="1498">
        <f t="shared" si="158"/>
        <v>44485.810425950018</v>
      </c>
      <c r="AO181" s="1184">
        <f t="shared" si="159"/>
        <v>0</v>
      </c>
    </row>
    <row r="182" spans="1:41">
      <c r="A182" s="873">
        <f>'Input data'!A122</f>
        <v>2022</v>
      </c>
      <c r="B182" s="1551">
        <f>'Input data'!B122</f>
        <v>60.682333816399378</v>
      </c>
      <c r="C182" s="1550">
        <f>'Input data'!C122</f>
        <v>4403.1093139322493</v>
      </c>
      <c r="D182" s="1511">
        <f>'Input data'!E122</f>
        <v>50359792.847133137</v>
      </c>
      <c r="E182" s="1508">
        <f>'Input data'!J122*C182</f>
        <v>52974.009055765164</v>
      </c>
      <c r="F182" s="1509">
        <f>'Input data'!L122</f>
        <v>103333.8019028983</v>
      </c>
      <c r="G182" s="1557">
        <f>G177*(1-E4)</f>
        <v>34219.854173807704</v>
      </c>
      <c r="H182" s="1509">
        <f t="shared" si="160"/>
        <v>43437.270864804959</v>
      </c>
      <c r="I182" s="1511">
        <f t="shared" si="136"/>
        <v>50359.79284713314</v>
      </c>
      <c r="J182" s="1454">
        <f t="shared" si="161"/>
        <v>0.19172168528933303</v>
      </c>
      <c r="K182" s="1512">
        <f t="shared" si="162"/>
        <v>6555.5329896119965</v>
      </c>
      <c r="L182" s="1512">
        <f t="shared" si="137"/>
        <v>0</v>
      </c>
      <c r="M182" s="1511">
        <f t="shared" si="163"/>
        <v>6555.5329896119965</v>
      </c>
      <c r="N182" s="1454">
        <f>$E$26</f>
        <v>0.5</v>
      </c>
      <c r="O182" s="530">
        <f t="shared" si="138"/>
        <v>751.91700000000026</v>
      </c>
      <c r="P182" s="1210">
        <f t="shared" si="166"/>
        <v>7307.4499896119969</v>
      </c>
      <c r="Q182" s="1364">
        <f t="shared" si="139"/>
        <v>70349.675049000667</v>
      </c>
      <c r="R182" s="1364">
        <f t="shared" si="164"/>
        <v>36129.820875192963</v>
      </c>
      <c r="S182" s="576">
        <f t="shared" si="140"/>
        <v>1.218751425485211</v>
      </c>
      <c r="T182" s="135" t="str">
        <f t="shared" si="141"/>
        <v>No</v>
      </c>
      <c r="U182" s="1526">
        <f t="shared" si="142"/>
        <v>1</v>
      </c>
      <c r="V182" s="1494">
        <f t="shared" si="134"/>
        <v>73688.855345556731</v>
      </c>
      <c r="W182" s="1527">
        <f>(1-V182/F182)</f>
        <v>0.28688527869320646</v>
      </c>
      <c r="X182" s="527">
        <f t="shared" si="143"/>
        <v>40704.728491659072</v>
      </c>
      <c r="Y182" s="1509">
        <f t="shared" si="144"/>
        <v>13897.124532895406</v>
      </c>
      <c r="Z182" s="1531">
        <f t="shared" si="145"/>
        <v>3145.7858208059524</v>
      </c>
      <c r="AA182" s="1531">
        <f t="shared" si="146"/>
        <v>0</v>
      </c>
      <c r="AB182" s="1531">
        <f t="shared" si="147"/>
        <v>15941.216500196295</v>
      </c>
      <c r="AC182" s="1531">
        <f t="shared" si="148"/>
        <v>73688.855345556731</v>
      </c>
      <c r="AD182" s="1005">
        <f t="shared" si="149"/>
        <v>6484.8743178513687</v>
      </c>
      <c r="AE182" s="649">
        <f t="shared" si="150"/>
        <v>0.5523864945489817</v>
      </c>
      <c r="AF182" s="417">
        <f t="shared" si="151"/>
        <v>0.1885919447075978</v>
      </c>
      <c r="AG182" s="417">
        <f t="shared" si="152"/>
        <v>4.2690116518354033E-2</v>
      </c>
      <c r="AH182" s="417">
        <f t="shared" si="165"/>
        <v>0</v>
      </c>
      <c r="AI182" s="417">
        <f t="shared" si="153"/>
        <v>0.21633144422506645</v>
      </c>
      <c r="AJ182" s="417">
        <f t="shared" si="154"/>
        <v>1</v>
      </c>
      <c r="AK182" s="1497">
        <f t="shared" si="155"/>
        <v>40704.72849165908</v>
      </c>
      <c r="AL182" s="1498">
        <f t="shared" si="156"/>
        <v>0</v>
      </c>
      <c r="AM182" s="1498">
        <f t="shared" si="157"/>
        <v>0</v>
      </c>
      <c r="AN182" s="1498">
        <f t="shared" si="158"/>
        <v>40704.72849165908</v>
      </c>
      <c r="AO182" s="1184">
        <f t="shared" si="159"/>
        <v>0</v>
      </c>
    </row>
    <row r="183" spans="1:41">
      <c r="A183" s="873">
        <f>'Input data'!A123</f>
        <v>2023</v>
      </c>
      <c r="B183" s="1551">
        <f>'Input data'!B123</f>
        <v>61.381040636574369</v>
      </c>
      <c r="C183" s="1550">
        <f>'Input data'!C123</f>
        <v>4507.0199361395535</v>
      </c>
      <c r="D183" s="1511">
        <f>'Input data'!E123</f>
        <v>49986151.288104504</v>
      </c>
      <c r="E183" s="1508">
        <f>'Input data'!J123*C183</f>
        <v>54224.162492651791</v>
      </c>
      <c r="F183" s="1509">
        <f>'Input data'!L123</f>
        <v>104210.31378075629</v>
      </c>
      <c r="G183" s="1557">
        <f>($G$147-$G$142)/($A$147-$A$142)+G182</f>
        <v>32166.662923379241</v>
      </c>
      <c r="H183" s="1509">
        <f t="shared" si="160"/>
        <v>45857.164292060486</v>
      </c>
      <c r="I183" s="1511">
        <f t="shared" si="136"/>
        <v>49986.151288104506</v>
      </c>
      <c r="J183" s="1454">
        <f t="shared" si="161"/>
        <v>0.21775647462816641</v>
      </c>
      <c r="K183" s="1512">
        <f t="shared" si="162"/>
        <v>7808.2735118691326</v>
      </c>
      <c r="L183" s="1512">
        <f t="shared" si="137"/>
        <v>0</v>
      </c>
      <c r="M183" s="1511">
        <f t="shared" si="163"/>
        <v>7808.2735118691326</v>
      </c>
      <c r="N183" s="1454">
        <f>($N$147-$N$142)/($A$107-$A$102)+N182</f>
        <v>0.5</v>
      </c>
      <c r="O183" s="530">
        <f t="shared" si="138"/>
        <v>751.91700000000026</v>
      </c>
      <c r="P183" s="1210">
        <f t="shared" si="166"/>
        <v>8560.190511869132</v>
      </c>
      <c r="Q183" s="1364">
        <f t="shared" si="139"/>
        <v>69463.636703570592</v>
      </c>
      <c r="R183" s="1364">
        <f t="shared" si="164"/>
        <v>37296.973780191351</v>
      </c>
      <c r="S183" s="576">
        <f t="shared" si="140"/>
        <v>1.2283977750216122</v>
      </c>
      <c r="T183" s="135" t="str">
        <f t="shared" si="141"/>
        <v>No</v>
      </c>
      <c r="U183" s="1526">
        <f t="shared" si="142"/>
        <v>1</v>
      </c>
      <c r="V183" s="1494">
        <f t="shared" si="134"/>
        <v>73848.020280562399</v>
      </c>
      <c r="W183" s="1527">
        <f t="shared" si="135"/>
        <v>0.29135593588242947</v>
      </c>
      <c r="X183" s="527">
        <f t="shared" si="143"/>
        <v>39101.343203376688</v>
      </c>
      <c r="Y183" s="1509">
        <f t="shared" si="144"/>
        <v>15226.978225597468</v>
      </c>
      <c r="Z183" s="1531">
        <f t="shared" si="145"/>
        <v>3202.2796257327404</v>
      </c>
      <c r="AA183" s="1531">
        <f t="shared" si="146"/>
        <v>0</v>
      </c>
      <c r="AB183" s="1531">
        <f t="shared" si="147"/>
        <v>16317.419225855498</v>
      </c>
      <c r="AC183" s="1531">
        <f t="shared" si="148"/>
        <v>73848.020280562399</v>
      </c>
      <c r="AD183" s="1005">
        <f t="shared" si="149"/>
        <v>6934.6802799974466</v>
      </c>
      <c r="AE183" s="649">
        <f t="shared" si="150"/>
        <v>0.52948397336615649</v>
      </c>
      <c r="AF183" s="417">
        <f t="shared" si="151"/>
        <v>0.20619345200788508</v>
      </c>
      <c r="AG183" s="417">
        <f t="shared" si="152"/>
        <v>4.3363107278525312E-2</v>
      </c>
      <c r="AH183" s="417">
        <f t="shared" si="165"/>
        <v>0</v>
      </c>
      <c r="AI183" s="417">
        <f t="shared" si="153"/>
        <v>0.22095946734743299</v>
      </c>
      <c r="AJ183" s="417">
        <f t="shared" si="154"/>
        <v>0.99999999999999989</v>
      </c>
      <c r="AK183" s="1497">
        <f t="shared" si="155"/>
        <v>39101.343203376688</v>
      </c>
      <c r="AL183" s="1498">
        <f t="shared" si="156"/>
        <v>0</v>
      </c>
      <c r="AM183" s="1498">
        <f t="shared" si="157"/>
        <v>0</v>
      </c>
      <c r="AN183" s="1498">
        <f t="shared" si="158"/>
        <v>39101.343203376688</v>
      </c>
      <c r="AO183" s="1184">
        <f t="shared" si="159"/>
        <v>0</v>
      </c>
    </row>
    <row r="184" spans="1:41">
      <c r="A184" s="873">
        <f>'Input data'!A124</f>
        <v>2024</v>
      </c>
      <c r="B184" s="1551">
        <f>'Input data'!B124</f>
        <v>62.087792487153699</v>
      </c>
      <c r="C184" s="1550">
        <f>'Input data'!C124</f>
        <v>4624.8292728728675</v>
      </c>
      <c r="D184" s="1511">
        <f>'Input data'!E124</f>
        <v>51073828.378576256</v>
      </c>
      <c r="E184" s="1508">
        <f>'Input data'!J124*C184</f>
        <v>55641.531998154896</v>
      </c>
      <c r="F184" s="1509">
        <f>'Input data'!L124</f>
        <v>106715.36037673114</v>
      </c>
      <c r="G184" s="1557">
        <f t="shared" ref="G184:G186" si="167">($G$147-$G$142)/($A$147-$A$142)+G183</f>
        <v>30113.471672950778</v>
      </c>
      <c r="H184" s="1509">
        <f t="shared" si="160"/>
        <v>49744.385281279698</v>
      </c>
      <c r="I184" s="1511">
        <f t="shared" si="136"/>
        <v>51073.828378576254</v>
      </c>
      <c r="J184" s="1454">
        <f t="shared" si="161"/>
        <v>0.24379126396699979</v>
      </c>
      <c r="K184" s="1512">
        <f t="shared" si="162"/>
        <v>9307.8745379477386</v>
      </c>
      <c r="L184" s="1512">
        <f t="shared" si="137"/>
        <v>0</v>
      </c>
      <c r="M184" s="1511">
        <f t="shared" si="163"/>
        <v>9307.8745379477386</v>
      </c>
      <c r="N184" s="1454">
        <f>($N$147-$N$142)/($A$107-$A$102)+N183</f>
        <v>0.5</v>
      </c>
      <c r="O184" s="530">
        <f t="shared" si="138"/>
        <v>751.91700000000026</v>
      </c>
      <c r="P184" s="1210">
        <f t="shared" si="166"/>
        <v>10059.791537947738</v>
      </c>
      <c r="Q184" s="1364">
        <f t="shared" si="139"/>
        <v>69798.065416282741</v>
      </c>
      <c r="R184" s="1364">
        <f t="shared" si="164"/>
        <v>39684.593743331963</v>
      </c>
      <c r="S184" s="576">
        <f t="shared" si="140"/>
        <v>1.2729380092321385</v>
      </c>
      <c r="T184" s="135" t="str">
        <f t="shared" si="141"/>
        <v>No</v>
      </c>
      <c r="U184" s="1526">
        <f t="shared" si="142"/>
        <v>1</v>
      </c>
      <c r="V184" s="1494">
        <f t="shared" si="134"/>
        <v>75539.770162977948</v>
      </c>
      <c r="W184" s="1527">
        <f t="shared" si="135"/>
        <v>0.29213779631812875</v>
      </c>
      <c r="X184" s="527">
        <f t="shared" si="143"/>
        <v>38622.475202529524</v>
      </c>
      <c r="Y184" s="1509">
        <f t="shared" si="144"/>
        <v>16907.023632319295</v>
      </c>
      <c r="Z184" s="1531">
        <f t="shared" si="145"/>
        <v>3266.3298406827407</v>
      </c>
      <c r="AA184" s="1531">
        <f t="shared" si="146"/>
        <v>0</v>
      </c>
      <c r="AB184" s="1531">
        <f t="shared" si="147"/>
        <v>16743.941487446387</v>
      </c>
      <c r="AC184" s="1531">
        <f t="shared" si="148"/>
        <v>75539.770162977948</v>
      </c>
      <c r="AD184" s="1005">
        <f t="shared" si="149"/>
        <v>8509.0035295787457</v>
      </c>
      <c r="AE184" s="649">
        <f t="shared" si="150"/>
        <v>0.51128663906709115</v>
      </c>
      <c r="AF184" s="417">
        <f t="shared" si="151"/>
        <v>0.22381619107183132</v>
      </c>
      <c r="AG184" s="417">
        <f t="shared" si="152"/>
        <v>4.3239869986837334E-2</v>
      </c>
      <c r="AH184" s="417">
        <f t="shared" si="165"/>
        <v>0</v>
      </c>
      <c r="AI184" s="417">
        <f t="shared" si="153"/>
        <v>0.22165729987424024</v>
      </c>
      <c r="AJ184" s="417">
        <f t="shared" si="154"/>
        <v>1</v>
      </c>
      <c r="AK184" s="1497">
        <f t="shared" si="155"/>
        <v>38622.475202529524</v>
      </c>
      <c r="AL184" s="1498">
        <f t="shared" si="156"/>
        <v>0</v>
      </c>
      <c r="AM184" s="1498">
        <f t="shared" si="157"/>
        <v>0</v>
      </c>
      <c r="AN184" s="1498">
        <f t="shared" si="158"/>
        <v>38622.475202529524</v>
      </c>
      <c r="AO184" s="1184">
        <f t="shared" si="159"/>
        <v>0</v>
      </c>
    </row>
    <row r="185" spans="1:41">
      <c r="A185" s="873">
        <f>'Input data'!A125</f>
        <v>2025</v>
      </c>
      <c r="B185" s="1551">
        <f>'Input data'!B125</f>
        <v>62.802682000000026</v>
      </c>
      <c r="C185" s="1550">
        <f>'Input data'!C125</f>
        <v>4737.3047749260231</v>
      </c>
      <c r="D185" s="1511">
        <f>'Input data'!E125</f>
        <v>51201731.8667503</v>
      </c>
      <c r="E185" s="1508">
        <f>'Input data'!J125*C185</f>
        <v>56994.729895255135</v>
      </c>
      <c r="F185" s="1509">
        <f>'Input data'!L125</f>
        <v>108196.46176200543</v>
      </c>
      <c r="G185" s="1557">
        <f t="shared" si="167"/>
        <v>28060.280422522315</v>
      </c>
      <c r="H185" s="1509">
        <f t="shared" si="160"/>
        <v>52694.082437199271</v>
      </c>
      <c r="I185" s="1511">
        <f t="shared" si="136"/>
        <v>51201.731866750299</v>
      </c>
      <c r="J185" s="1454">
        <f t="shared" si="161"/>
        <v>0.26982605330583315</v>
      </c>
      <c r="K185" s="1512">
        <f t="shared" si="162"/>
        <v>10664.210423474206</v>
      </c>
      <c r="L185" s="1512">
        <f t="shared" si="137"/>
        <v>0</v>
      </c>
      <c r="M185" s="1511">
        <f t="shared" si="163"/>
        <v>10664.210423474206</v>
      </c>
      <c r="N185" s="1454">
        <f>($N$147-$N$142)/($A$107-$A$102)+N184</f>
        <v>0.5</v>
      </c>
      <c r="O185" s="530">
        <f t="shared" si="138"/>
        <v>751.91700000000026</v>
      </c>
      <c r="P185" s="1210">
        <f t="shared" si="166"/>
        <v>11416.127423474205</v>
      </c>
      <c r="Q185" s="1364">
        <f t="shared" si="139"/>
        <v>69338.235436247385</v>
      </c>
      <c r="R185" s="1364">
        <f t="shared" si="164"/>
        <v>41277.95501372507</v>
      </c>
      <c r="S185" s="576">
        <f t="shared" si="140"/>
        <v>1.291871285005465</v>
      </c>
      <c r="T185" s="135" t="str">
        <f t="shared" si="141"/>
        <v>No</v>
      </c>
      <c r="U185" s="1526">
        <f t="shared" si="142"/>
        <v>1</v>
      </c>
      <c r="V185" s="1494">
        <f t="shared" si="134"/>
        <v>76244.396960479615</v>
      </c>
      <c r="W185" s="1527">
        <f t="shared" si="135"/>
        <v>0.29531524673892984</v>
      </c>
      <c r="X185" s="527">
        <f t="shared" si="143"/>
        <v>37386.170634721551</v>
      </c>
      <c r="Y185" s="1509">
        <f t="shared" si="144"/>
        <v>18379.593260585112</v>
      </c>
      <c r="Z185" s="1531">
        <f t="shared" si="145"/>
        <v>3327.4801729303604</v>
      </c>
      <c r="AA185" s="1531">
        <f t="shared" si="146"/>
        <v>0</v>
      </c>
      <c r="AB185" s="1531">
        <f t="shared" si="147"/>
        <v>17151.152892242597</v>
      </c>
      <c r="AC185" s="1531">
        <f t="shared" si="148"/>
        <v>76244.396960479615</v>
      </c>
      <c r="AD185" s="1005">
        <f t="shared" si="149"/>
        <v>9325.890212199236</v>
      </c>
      <c r="AE185" s="649">
        <f t="shared" si="150"/>
        <v>0.49034646643084123</v>
      </c>
      <c r="AF185" s="417">
        <f t="shared" si="151"/>
        <v>0.24106155984303945</v>
      </c>
      <c r="AG185" s="417">
        <f t="shared" si="152"/>
        <v>4.3642291179181607E-2</v>
      </c>
      <c r="AH185" s="417">
        <f t="shared" si="165"/>
        <v>0</v>
      </c>
      <c r="AI185" s="417">
        <f t="shared" si="153"/>
        <v>0.22494968254693778</v>
      </c>
      <c r="AJ185" s="417">
        <f t="shared" si="154"/>
        <v>1</v>
      </c>
      <c r="AK185" s="1497">
        <f t="shared" si="155"/>
        <v>37386.170634721559</v>
      </c>
      <c r="AL185" s="1498">
        <f t="shared" si="156"/>
        <v>0</v>
      </c>
      <c r="AM185" s="1498">
        <f t="shared" si="157"/>
        <v>0</v>
      </c>
      <c r="AN185" s="1498">
        <f t="shared" si="158"/>
        <v>37386.170634721559</v>
      </c>
      <c r="AO185" s="1184">
        <f t="shared" si="159"/>
        <v>0</v>
      </c>
    </row>
    <row r="186" spans="1:41">
      <c r="A186" s="873">
        <f>'Input data'!A126</f>
        <v>2026</v>
      </c>
      <c r="B186" s="1551">
        <f>'Input data'!B126</f>
        <v>63.421065342005143</v>
      </c>
      <c r="C186" s="1550">
        <f>'Input data'!C126</f>
        <v>4839.0369685354799</v>
      </c>
      <c r="D186" s="1511">
        <f>'Input data'!E126</f>
        <v>50537069.53539668</v>
      </c>
      <c r="E186" s="1508">
        <f>'Input data'!J126*C186</f>
        <v>58218.674558286308</v>
      </c>
      <c r="F186" s="1509">
        <f>'Input data'!L126</f>
        <v>108755.744093683</v>
      </c>
      <c r="G186" s="1557">
        <f t="shared" si="167"/>
        <v>26007.089172093853</v>
      </c>
      <c r="H186" s="1509">
        <f t="shared" si="160"/>
        <v>54825.827981512746</v>
      </c>
      <c r="I186" s="1511">
        <f t="shared" si="136"/>
        <v>50537.06953539668</v>
      </c>
      <c r="J186" s="1454">
        <f t="shared" si="161"/>
        <v>0.2958608426446665</v>
      </c>
      <c r="K186" s="1512">
        <f t="shared" si="162"/>
        <v>11841.497632404236</v>
      </c>
      <c r="L186" s="1512">
        <f t="shared" si="137"/>
        <v>0</v>
      </c>
      <c r="M186" s="1511">
        <f t="shared" si="163"/>
        <v>11841.497632404236</v>
      </c>
      <c r="N186" s="1454">
        <f>($N$147-$N$142)/($A$107-$A$102)+N185</f>
        <v>0.5</v>
      </c>
      <c r="O186" s="530">
        <f t="shared" si="138"/>
        <v>751.91700000000026</v>
      </c>
      <c r="P186" s="1210">
        <f t="shared" si="166"/>
        <v>12593.414632404236</v>
      </c>
      <c r="Q186" s="1364">
        <f t="shared" si="139"/>
        <v>68239.502521202361</v>
      </c>
      <c r="R186" s="1364">
        <f t="shared" si="164"/>
        <v>42232.413349108509</v>
      </c>
      <c r="S186" s="576">
        <f t="shared" si="140"/>
        <v>1.2933157037350294</v>
      </c>
      <c r="T186" s="135" t="str">
        <f t="shared" si="141"/>
        <v>No</v>
      </c>
      <c r="U186" s="1526">
        <f t="shared" si="142"/>
        <v>1</v>
      </c>
      <c r="V186" s="1494">
        <f t="shared" si="134"/>
        <v>76101.371130342755</v>
      </c>
      <c r="W186" s="1527">
        <f t="shared" si="135"/>
        <v>0.30025423701033693</v>
      </c>
      <c r="X186" s="527">
        <f t="shared" si="143"/>
        <v>35585.129557862114</v>
      </c>
      <c r="Y186" s="1509">
        <f t="shared" si="144"/>
        <v>19613.983219645612</v>
      </c>
      <c r="Z186" s="1531">
        <f t="shared" si="145"/>
        <v>3382.7896165508691</v>
      </c>
      <c r="AA186" s="1531">
        <f t="shared" si="146"/>
        <v>0</v>
      </c>
      <c r="AB186" s="1531">
        <f t="shared" si="147"/>
        <v>17519.468736284161</v>
      </c>
      <c r="AC186" s="1531">
        <f t="shared" si="148"/>
        <v>76101.371130342755</v>
      </c>
      <c r="AD186" s="1005">
        <f t="shared" si="149"/>
        <v>9578.0403857682613</v>
      </c>
      <c r="AE186" s="1454">
        <f t="shared" si="150"/>
        <v>0.46760168745072439</v>
      </c>
      <c r="AF186" s="1504">
        <f t="shared" si="151"/>
        <v>0.25773495179280975</v>
      </c>
      <c r="AG186" s="1504">
        <f t="shared" si="152"/>
        <v>4.4451099452032086E-2</v>
      </c>
      <c r="AH186" s="1504">
        <f t="shared" si="165"/>
        <v>0</v>
      </c>
      <c r="AI186" s="1504">
        <f t="shared" si="153"/>
        <v>0.23021226130443381</v>
      </c>
      <c r="AJ186" s="1504">
        <f t="shared" si="154"/>
        <v>1</v>
      </c>
      <c r="AK186" s="1555">
        <f t="shared" si="155"/>
        <v>35585.129557862114</v>
      </c>
      <c r="AL186" s="1556">
        <f t="shared" si="156"/>
        <v>0</v>
      </c>
      <c r="AM186" s="1556">
        <f t="shared" si="157"/>
        <v>0</v>
      </c>
      <c r="AN186" s="1556">
        <f t="shared" si="158"/>
        <v>35585.129557862114</v>
      </c>
      <c r="AO186" s="1543">
        <f t="shared" si="159"/>
        <v>0</v>
      </c>
    </row>
    <row r="187" spans="1:41">
      <c r="A187" s="873">
        <f>'Input data'!A127</f>
        <v>2027</v>
      </c>
      <c r="B187" s="1551">
        <f>'Input data'!B127</f>
        <v>64.045537563425796</v>
      </c>
      <c r="C187" s="1550">
        <f>'Input data'!C127</f>
        <v>4937.5264455117067</v>
      </c>
      <c r="D187" s="1511">
        <f>'Input data'!E127</f>
        <v>49329037.288601168</v>
      </c>
      <c r="E187" s="1508">
        <f>'Input data'!J127*C187</f>
        <v>59403.605949548262</v>
      </c>
      <c r="F187" s="1509">
        <f>'Input data'!L127</f>
        <v>108732.64323814944</v>
      </c>
      <c r="G187" s="1557">
        <f>G177*(1-E5)</f>
        <v>23953.89792166539</v>
      </c>
      <c r="H187" s="1509">
        <f t="shared" si="160"/>
        <v>56425.260706794892</v>
      </c>
      <c r="I187" s="1511">
        <f t="shared" si="136"/>
        <v>49329.037288601168</v>
      </c>
      <c r="J187" s="1454">
        <f t="shared" si="161"/>
        <v>0.32189563198349985</v>
      </c>
      <c r="K187" s="1512">
        <f t="shared" si="162"/>
        <v>12842.710940961875</v>
      </c>
      <c r="L187" s="1512">
        <f t="shared" si="137"/>
        <v>0</v>
      </c>
      <c r="M187" s="1511">
        <f t="shared" si="163"/>
        <v>12842.710940961875</v>
      </c>
      <c r="N187" s="1454">
        <f>$C$27</f>
        <v>0.5</v>
      </c>
      <c r="O187" s="530">
        <f t="shared" si="138"/>
        <v>751.91700000000026</v>
      </c>
      <c r="P187" s="1210">
        <f t="shared" si="166"/>
        <v>13594.627940961875</v>
      </c>
      <c r="Q187" s="1364">
        <f t="shared" si="139"/>
        <v>66784.530687498409</v>
      </c>
      <c r="R187" s="1364">
        <f t="shared" si="164"/>
        <v>42830.632765833019</v>
      </c>
      <c r="S187" s="576">
        <f t="shared" si="140"/>
        <v>1.2848819128964226</v>
      </c>
      <c r="T187" s="135" t="str">
        <f t="shared" si="141"/>
        <v>No</v>
      </c>
      <c r="U187" s="1526">
        <f t="shared" si="142"/>
        <v>1</v>
      </c>
      <c r="V187" s="1494">
        <f t="shared" si="134"/>
        <v>75398.348206100287</v>
      </c>
      <c r="W187" s="1527">
        <f t="shared" si="135"/>
        <v>0.3065711826671903</v>
      </c>
      <c r="X187" s="527">
        <f t="shared" si="143"/>
        <v>33450.235655449265</v>
      </c>
      <c r="Y187" s="1509">
        <f t="shared" si="144"/>
        <v>20635.731978531978</v>
      </c>
      <c r="Z187" s="1531">
        <f t="shared" si="145"/>
        <v>3436.3360700456424</v>
      </c>
      <c r="AA187" s="1531">
        <f t="shared" si="146"/>
        <v>0</v>
      </c>
      <c r="AB187" s="1531">
        <f t="shared" si="147"/>
        <v>17876.044502073404</v>
      </c>
      <c r="AC187" s="1531">
        <f t="shared" si="148"/>
        <v>75398.348206100287</v>
      </c>
      <c r="AD187" s="1005">
        <f t="shared" si="149"/>
        <v>9496.3377337838756</v>
      </c>
      <c r="AE187" s="1454">
        <f t="shared" si="150"/>
        <v>0.44364679666474299</v>
      </c>
      <c r="AF187" s="1504">
        <f t="shared" si="151"/>
        <v>0.27368944372792497</v>
      </c>
      <c r="AG187" s="1504">
        <f t="shared" si="152"/>
        <v>4.5575747371182029E-2</v>
      </c>
      <c r="AH187" s="1504">
        <f t="shared" si="165"/>
        <v>0</v>
      </c>
      <c r="AI187" s="1504">
        <f t="shared" si="153"/>
        <v>0.23708801223615</v>
      </c>
      <c r="AJ187" s="1504">
        <f t="shared" si="154"/>
        <v>1</v>
      </c>
      <c r="AK187" s="1555">
        <f t="shared" si="155"/>
        <v>33450.235655449258</v>
      </c>
      <c r="AL187" s="1556">
        <f t="shared" si="156"/>
        <v>0</v>
      </c>
      <c r="AM187" s="1556">
        <f t="shared" si="157"/>
        <v>0</v>
      </c>
      <c r="AN187" s="1556">
        <f t="shared" si="158"/>
        <v>33450.235655449258</v>
      </c>
      <c r="AO187" s="1543">
        <f t="shared" si="159"/>
        <v>0</v>
      </c>
    </row>
    <row r="188" spans="1:41">
      <c r="A188" s="873">
        <f>'Input data'!A128</f>
        <v>2028</v>
      </c>
      <c r="B188" s="1551">
        <f>'Input data'!B128</f>
        <v>64.676158618096451</v>
      </c>
      <c r="C188" s="1550">
        <f>'Input data'!C128</f>
        <v>5030.8888370380655</v>
      </c>
      <c r="D188" s="1511">
        <f>'Input data'!E128</f>
        <v>48528826.860263921</v>
      </c>
      <c r="E188" s="1508">
        <f>'Input data'!J128*C188</f>
        <v>60526.853141830288</v>
      </c>
      <c r="F188" s="1509">
        <f>'Input data'!L128</f>
        <v>109055.68000209422</v>
      </c>
      <c r="G188" s="1557">
        <f>($G$152-$G$147)/($A$152-$A$147)+G187</f>
        <v>21900.706671236927</v>
      </c>
      <c r="H188" s="1509">
        <f t="shared" si="160"/>
        <v>58372.019907309354</v>
      </c>
      <c r="I188" s="1511">
        <f t="shared" si="136"/>
        <v>48528.826860263922</v>
      </c>
      <c r="J188" s="1454">
        <f t="shared" si="161"/>
        <v>0.34793042132233321</v>
      </c>
      <c r="K188" s="1512">
        <f t="shared" si="162"/>
        <v>13897.815625844583</v>
      </c>
      <c r="L188" s="1512">
        <f t="shared" si="137"/>
        <v>0</v>
      </c>
      <c r="M188" s="1511">
        <f t="shared" si="163"/>
        <v>13897.815625844583</v>
      </c>
      <c r="N188" s="1454">
        <f>N187</f>
        <v>0.5</v>
      </c>
      <c r="O188" s="530">
        <f t="shared" si="138"/>
        <v>751.91700000000026</v>
      </c>
      <c r="P188" s="1210">
        <f t="shared" si="166"/>
        <v>14649.732625844583</v>
      </c>
      <c r="Q188" s="1364">
        <f t="shared" si="139"/>
        <v>65622.993952701698</v>
      </c>
      <c r="R188" s="1364">
        <f t="shared" si="164"/>
        <v>43722.287281464771</v>
      </c>
      <c r="S188" s="576">
        <f t="shared" si="140"/>
        <v>1.2867511103341922</v>
      </c>
      <c r="T188" s="135" t="str">
        <f t="shared" si="141"/>
        <v>No</v>
      </c>
      <c r="U188" s="1526">
        <f t="shared" si="142"/>
        <v>1</v>
      </c>
      <c r="V188" s="1494">
        <f t="shared" si="134"/>
        <v>75076.857733886267</v>
      </c>
      <c r="W188" s="1527">
        <f t="shared" si="135"/>
        <v>0.31157315481005166</v>
      </c>
      <c r="X188" s="527">
        <f t="shared" si="143"/>
        <v>31644.171684493736</v>
      </c>
      <c r="Y188" s="1509">
        <f t="shared" si="144"/>
        <v>21731.533068423185</v>
      </c>
      <c r="Z188" s="1531">
        <f t="shared" si="145"/>
        <v>3487.0950456185724</v>
      </c>
      <c r="AA188" s="1531">
        <f t="shared" si="146"/>
        <v>0</v>
      </c>
      <c r="AB188" s="1531">
        <f t="shared" si="147"/>
        <v>18214.057935350767</v>
      </c>
      <c r="AC188" s="1531">
        <f t="shared" si="148"/>
        <v>75076.857733886267</v>
      </c>
      <c r="AD188" s="1005">
        <f t="shared" si="149"/>
        <v>9743.4650132568095</v>
      </c>
      <c r="AE188" s="1454">
        <f t="shared" si="150"/>
        <v>0.42149035854241673</v>
      </c>
      <c r="AF188" s="1504">
        <f t="shared" si="151"/>
        <v>0.28945714730698646</v>
      </c>
      <c r="AG188" s="1504">
        <f t="shared" si="152"/>
        <v>4.6447003122836568E-2</v>
      </c>
      <c r="AH188" s="1504">
        <f t="shared" si="165"/>
        <v>0</v>
      </c>
      <c r="AI188" s="1504">
        <f t="shared" si="153"/>
        <v>0.24260549102776011</v>
      </c>
      <c r="AJ188" s="1504">
        <f t="shared" si="154"/>
        <v>0.99999999999999989</v>
      </c>
      <c r="AK188" s="1555">
        <f t="shared" si="155"/>
        <v>31644.17168449374</v>
      </c>
      <c r="AL188" s="1556">
        <f t="shared" si="156"/>
        <v>0</v>
      </c>
      <c r="AM188" s="1556">
        <f t="shared" si="157"/>
        <v>0</v>
      </c>
      <c r="AN188" s="1556">
        <f t="shared" si="158"/>
        <v>31644.17168449374</v>
      </c>
      <c r="AO188" s="1543">
        <f t="shared" si="159"/>
        <v>0</v>
      </c>
    </row>
    <row r="189" spans="1:41">
      <c r="A189" s="873">
        <f>'Input data'!A129</f>
        <v>2029</v>
      </c>
      <c r="B189" s="1551">
        <f>'Input data'!B129</f>
        <v>65.31298905018393</v>
      </c>
      <c r="C189" s="1550">
        <f>'Input data'!C129</f>
        <v>5147.1070268118992</v>
      </c>
      <c r="D189" s="1511">
        <f>'Input data'!E129</f>
        <v>46965110.037548423</v>
      </c>
      <c r="E189" s="1508">
        <f>'Input data'!J129*C189</f>
        <v>61925.079485664915</v>
      </c>
      <c r="F189" s="1509">
        <f>'Input data'!L129</f>
        <v>108890.18952321334</v>
      </c>
      <c r="G189" s="1557">
        <f t="shared" ref="G189:G191" si="168">($G$152-$G$147)/($A$152-$A$147)+G188</f>
        <v>19847.515420808464</v>
      </c>
      <c r="H189" s="1509">
        <f t="shared" si="160"/>
        <v>59760.049800363275</v>
      </c>
      <c r="I189" s="1511">
        <f t="shared" si="136"/>
        <v>46965.110037548424</v>
      </c>
      <c r="J189" s="1454">
        <f t="shared" si="161"/>
        <v>0.37396521066116656</v>
      </c>
      <c r="K189" s="1512">
        <f t="shared" si="162"/>
        <v>14672.72095323242</v>
      </c>
      <c r="L189" s="1512">
        <f t="shared" si="137"/>
        <v>0</v>
      </c>
      <c r="M189" s="1511">
        <f t="shared" si="163"/>
        <v>14672.72095323242</v>
      </c>
      <c r="N189" s="1454">
        <f t="shared" ref="N189:N210" si="169">N188</f>
        <v>0.5</v>
      </c>
      <c r="O189" s="530">
        <f t="shared" si="138"/>
        <v>751.91700000000026</v>
      </c>
      <c r="P189" s="1210">
        <f t="shared" si="166"/>
        <v>15424.637953232419</v>
      </c>
      <c r="Q189" s="1364">
        <f t="shared" si="139"/>
        <v>64182.927267939318</v>
      </c>
      <c r="R189" s="1364">
        <f t="shared" si="164"/>
        <v>44335.411847130854</v>
      </c>
      <c r="S189" s="576">
        <f t="shared" si="140"/>
        <v>1.2746971162776046</v>
      </c>
      <c r="T189" s="135" t="str">
        <f t="shared" si="141"/>
        <v>No</v>
      </c>
      <c r="U189" s="1526">
        <f t="shared" si="142"/>
        <v>1</v>
      </c>
      <c r="V189" s="1494">
        <f t="shared" si="134"/>
        <v>74109.055023905777</v>
      </c>
      <c r="W189" s="1527">
        <f t="shared" si="135"/>
        <v>0.31941476685457393</v>
      </c>
      <c r="X189" s="527">
        <f t="shared" si="143"/>
        <v>29401.792768631756</v>
      </c>
      <c r="Y189" s="1509">
        <f t="shared" si="144"/>
        <v>22522.162528169356</v>
      </c>
      <c r="Z189" s="1531">
        <f t="shared" si="145"/>
        <v>3550.2801907226872</v>
      </c>
      <c r="AA189" s="1531">
        <f t="shared" si="146"/>
        <v>0</v>
      </c>
      <c r="AB189" s="1531">
        <f t="shared" si="147"/>
        <v>18634.81953638198</v>
      </c>
      <c r="AC189" s="1531">
        <f t="shared" si="148"/>
        <v>74109.055023905777</v>
      </c>
      <c r="AD189" s="1005">
        <f t="shared" si="149"/>
        <v>9554.2773478232921</v>
      </c>
      <c r="AE189" s="1454">
        <f t="shared" si="150"/>
        <v>0.39673684624837618</v>
      </c>
      <c r="AF189" s="1504">
        <f t="shared" si="151"/>
        <v>0.30390567685560493</v>
      </c>
      <c r="AG189" s="1504">
        <f t="shared" si="152"/>
        <v>4.7906159234893136E-2</v>
      </c>
      <c r="AH189" s="1504">
        <f t="shared" si="165"/>
        <v>0</v>
      </c>
      <c r="AI189" s="1504">
        <f t="shared" si="153"/>
        <v>0.25145131766112577</v>
      </c>
      <c r="AJ189" s="1504">
        <f t="shared" si="154"/>
        <v>1</v>
      </c>
      <c r="AK189" s="1555">
        <f t="shared" si="155"/>
        <v>29401.792768631756</v>
      </c>
      <c r="AL189" s="1556">
        <f t="shared" si="156"/>
        <v>0</v>
      </c>
      <c r="AM189" s="1556">
        <f t="shared" si="157"/>
        <v>0</v>
      </c>
      <c r="AN189" s="1556">
        <f t="shared" si="158"/>
        <v>29401.792768631756</v>
      </c>
      <c r="AO189" s="1543">
        <f t="shared" si="159"/>
        <v>0</v>
      </c>
    </row>
    <row r="190" spans="1:41">
      <c r="A190" s="873">
        <f>'Input data'!A130</f>
        <v>2030</v>
      </c>
      <c r="B190" s="1551">
        <f>'Input data'!B130</f>
        <v>65.956090000000003</v>
      </c>
      <c r="C190" s="1550">
        <f>'Input data'!C130</f>
        <v>5262.1824199605107</v>
      </c>
      <c r="D190" s="1511">
        <f>'Input data'!E130</f>
        <v>45521353.842330128</v>
      </c>
      <c r="E190" s="1508">
        <f>'Input data'!J130*C190</f>
        <v>63309.556791159332</v>
      </c>
      <c r="F190" s="1509">
        <f>'Input data'!L130</f>
        <v>108830.91063348946</v>
      </c>
      <c r="G190" s="1557">
        <f t="shared" si="168"/>
        <v>17794.324170380001</v>
      </c>
      <c r="H190" s="1509">
        <f t="shared" si="160"/>
        <v>61252.767719482319</v>
      </c>
      <c r="I190" s="1511">
        <f t="shared" si="136"/>
        <v>45521.353842330129</v>
      </c>
      <c r="J190" s="1504">
        <f>$H$19</f>
        <v>0.4</v>
      </c>
      <c r="K190" s="1512">
        <f t="shared" si="162"/>
        <v>15406.805150146254</v>
      </c>
      <c r="L190" s="1512">
        <f t="shared" si="137"/>
        <v>0</v>
      </c>
      <c r="M190" s="1511">
        <f t="shared" si="163"/>
        <v>15406.805150146254</v>
      </c>
      <c r="N190" s="1454">
        <f t="shared" si="169"/>
        <v>0.5</v>
      </c>
      <c r="O190" s="530">
        <f t="shared" si="138"/>
        <v>751.91700000000026</v>
      </c>
      <c r="P190" s="1210">
        <f t="shared" si="166"/>
        <v>16158.722150146254</v>
      </c>
      <c r="Q190" s="1364">
        <f t="shared" si="139"/>
        <v>62888.369739716065</v>
      </c>
      <c r="R190" s="1364">
        <f t="shared" si="164"/>
        <v>45094.045569336064</v>
      </c>
      <c r="S190" s="576">
        <f t="shared" si="140"/>
        <v>1.2675569638674462</v>
      </c>
      <c r="T190" s="135" t="str">
        <f t="shared" si="141"/>
        <v>No</v>
      </c>
      <c r="U190" s="1526">
        <f t="shared" si="142"/>
        <v>1</v>
      </c>
      <c r="V190" s="1494">
        <f t="shared" si="134"/>
        <v>73255.353199171484</v>
      </c>
      <c r="W190" s="1527">
        <f t="shared" si="135"/>
        <v>0.3268883557735357</v>
      </c>
      <c r="X190" s="527">
        <f t="shared" si="143"/>
        <v>27312.812305398078</v>
      </c>
      <c r="Y190" s="1509">
        <f t="shared" si="144"/>
        <v>23278.253165350783</v>
      </c>
      <c r="Z190" s="1531">
        <f t="shared" si="145"/>
        <v>3612.8440237006225</v>
      </c>
      <c r="AA190" s="1531">
        <f t="shared" si="146"/>
        <v>0</v>
      </c>
      <c r="AB190" s="1531">
        <f t="shared" si="147"/>
        <v>19051.443704722002</v>
      </c>
      <c r="AC190" s="1531">
        <f t="shared" si="148"/>
        <v>73255.353199171484</v>
      </c>
      <c r="AD190" s="1005">
        <f t="shared" si="149"/>
        <v>9518.4881350180767</v>
      </c>
      <c r="AE190" s="1454">
        <f t="shared" si="150"/>
        <v>0.3728439098660572</v>
      </c>
      <c r="AF190" s="1504">
        <f t="shared" si="151"/>
        <v>0.31776862916844223</v>
      </c>
      <c r="AG190" s="1504">
        <f t="shared" si="152"/>
        <v>4.9318498456730989E-2</v>
      </c>
      <c r="AH190" s="1504">
        <f t="shared" si="165"/>
        <v>0</v>
      </c>
      <c r="AI190" s="1504">
        <f t="shared" si="153"/>
        <v>0.2600689625087696</v>
      </c>
      <c r="AJ190" s="1504">
        <f t="shared" si="154"/>
        <v>1</v>
      </c>
      <c r="AK190" s="1555">
        <f t="shared" si="155"/>
        <v>27312.812305398074</v>
      </c>
      <c r="AL190" s="1556">
        <f t="shared" si="156"/>
        <v>0</v>
      </c>
      <c r="AM190" s="1556">
        <f t="shared" si="157"/>
        <v>0</v>
      </c>
      <c r="AN190" s="1556">
        <f t="shared" si="158"/>
        <v>27312.812305398074</v>
      </c>
      <c r="AO190" s="1543">
        <f t="shared" si="159"/>
        <v>0</v>
      </c>
    </row>
    <row r="191" spans="1:41">
      <c r="A191" s="873">
        <f>'Input data'!A131</f>
        <v>2031</v>
      </c>
      <c r="B191" s="1551">
        <f>'Input data'!B131</f>
        <v>66.518977190687664</v>
      </c>
      <c r="C191" s="1550">
        <f>'Input data'!C131</f>
        <v>5387.7672265735409</v>
      </c>
      <c r="D191" s="1511">
        <f>'Input data'!E131</f>
        <v>44085520.531554446</v>
      </c>
      <c r="E191" s="1508">
        <f>'Input data'!J131*C191</f>
        <v>64820.473329555214</v>
      </c>
      <c r="F191" s="1509">
        <f>'Input data'!L131</f>
        <v>108905.99386110966</v>
      </c>
      <c r="G191" s="1557">
        <f t="shared" si="168"/>
        <v>15741.132919951538</v>
      </c>
      <c r="H191" s="1509">
        <f t="shared" si="160"/>
        <v>62825.472619476619</v>
      </c>
      <c r="I191" s="1511">
        <f t="shared" si="136"/>
        <v>44085.520531554444</v>
      </c>
      <c r="J191" s="1504">
        <f>J190</f>
        <v>0.4</v>
      </c>
      <c r="K191" s="1512">
        <f t="shared" si="162"/>
        <v>14920.844119113835</v>
      </c>
      <c r="L191" s="1512">
        <f t="shared" si="137"/>
        <v>0</v>
      </c>
      <c r="M191" s="1511">
        <f t="shared" si="163"/>
        <v>14920.844119113835</v>
      </c>
      <c r="N191" s="1454">
        <f t="shared" si="169"/>
        <v>0.5</v>
      </c>
      <c r="O191" s="530">
        <f t="shared" si="138"/>
        <v>751.91700000000026</v>
      </c>
      <c r="P191" s="1210">
        <f t="shared" si="166"/>
        <v>15672.761119113835</v>
      </c>
      <c r="Q191" s="1364">
        <f t="shared" si="139"/>
        <v>62893.844420314323</v>
      </c>
      <c r="R191" s="1364">
        <f t="shared" si="164"/>
        <v>47152.711500362784</v>
      </c>
      <c r="S191" s="576">
        <f t="shared" si="140"/>
        <v>1.2938922951123659</v>
      </c>
      <c r="T191" s="135" t="str">
        <f t="shared" si="141"/>
        <v>No</v>
      </c>
      <c r="U191" s="1526">
        <f t="shared" si="142"/>
        <v>1</v>
      </c>
      <c r="V191" s="1494">
        <f t="shared" si="134"/>
        <v>72463.461759728001</v>
      </c>
      <c r="W191" s="1527">
        <f t="shared" si="135"/>
        <v>0.33462375034984448</v>
      </c>
      <c r="X191" s="527">
        <f t="shared" si="143"/>
        <v>26451.312318932665</v>
      </c>
      <c r="Y191" s="1509">
        <f t="shared" si="144"/>
        <v>22824.911228952824</v>
      </c>
      <c r="Z191" s="1531">
        <f t="shared" si="145"/>
        <v>3681.1215820084799</v>
      </c>
      <c r="AA191" s="1531">
        <f t="shared" si="146"/>
        <v>0</v>
      </c>
      <c r="AB191" s="1531">
        <f t="shared" si="147"/>
        <v>19506.116629834032</v>
      </c>
      <c r="AC191" s="1531">
        <f t="shared" si="148"/>
        <v>72463.461759728001</v>
      </c>
      <c r="AD191" s="1005">
        <f t="shared" si="149"/>
        <v>10710.179398981127</v>
      </c>
      <c r="AE191" s="1454">
        <f t="shared" si="150"/>
        <v>0.36502965324288633</v>
      </c>
      <c r="AF191" s="1504">
        <f t="shared" si="151"/>
        <v>0.31498510662704637</v>
      </c>
      <c r="AG191" s="1504">
        <f t="shared" si="152"/>
        <v>5.0799692598377695E-2</v>
      </c>
      <c r="AH191" s="1504">
        <f t="shared" si="165"/>
        <v>0</v>
      </c>
      <c r="AI191" s="1504">
        <f t="shared" si="153"/>
        <v>0.26918554753168961</v>
      </c>
      <c r="AJ191" s="1504">
        <f t="shared" si="154"/>
        <v>1</v>
      </c>
      <c r="AK191" s="1555">
        <f t="shared" si="155"/>
        <v>26451.312318932665</v>
      </c>
      <c r="AL191" s="1556">
        <f t="shared" si="156"/>
        <v>0</v>
      </c>
      <c r="AM191" s="1556">
        <f t="shared" si="157"/>
        <v>0</v>
      </c>
      <c r="AN191" s="1556">
        <f t="shared" si="158"/>
        <v>26451.312318932665</v>
      </c>
      <c r="AO191" s="1543">
        <f t="shared" si="159"/>
        <v>0</v>
      </c>
    </row>
    <row r="192" spans="1:41">
      <c r="A192" s="873">
        <f>'Input data'!A132</f>
        <v>2032</v>
      </c>
      <c r="B192" s="1551">
        <f>'Input data'!B132</f>
        <v>67.08666821358311</v>
      </c>
      <c r="C192" s="1550">
        <f>'Input data'!C132</f>
        <v>5535.3993263804541</v>
      </c>
      <c r="D192" s="1511">
        <f>'Input data'!E132</f>
        <v>41932973.31689404</v>
      </c>
      <c r="E192" s="1508">
        <f>'Input data'!J132*C192</f>
        <v>66596.641858314426</v>
      </c>
      <c r="F192" s="1509">
        <f>'Input data'!L132</f>
        <v>108529.61517520846</v>
      </c>
      <c r="G192" s="1557">
        <f>G177*(1-E6)</f>
        <v>13687.941669523079</v>
      </c>
      <c r="H192" s="1509">
        <f t="shared" si="160"/>
        <v>63877.77921618559</v>
      </c>
      <c r="I192" s="1511">
        <f t="shared" si="136"/>
        <v>41932.973316894037</v>
      </c>
      <c r="J192" s="1504">
        <f t="shared" ref="J192:J210" si="170">J191</f>
        <v>0.4</v>
      </c>
      <c r="K192" s="1512">
        <f t="shared" si="162"/>
        <v>14192.309646531345</v>
      </c>
      <c r="L192" s="1512">
        <f t="shared" si="137"/>
        <v>0</v>
      </c>
      <c r="M192" s="1511">
        <f t="shared" si="163"/>
        <v>14192.309646531345</v>
      </c>
      <c r="N192" s="1454">
        <f t="shared" si="169"/>
        <v>0.5</v>
      </c>
      <c r="O192" s="530">
        <f t="shared" si="138"/>
        <v>751.91700000000026</v>
      </c>
      <c r="P192" s="1210">
        <f t="shared" si="166"/>
        <v>14944.226646531344</v>
      </c>
      <c r="Q192" s="1364">
        <f t="shared" si="139"/>
        <v>62621.494239177322</v>
      </c>
      <c r="R192" s="1364">
        <f t="shared" si="164"/>
        <v>48933.552569654246</v>
      </c>
      <c r="S192" s="576">
        <f t="shared" si="140"/>
        <v>1.3062284728686953</v>
      </c>
      <c r="T192" s="135" t="str">
        <f t="shared" si="141"/>
        <v>No</v>
      </c>
      <c r="U192" s="1526">
        <f t="shared" si="142"/>
        <v>1</v>
      </c>
      <c r="V192" s="1494">
        <f t="shared" si="134"/>
        <v>71067.904926167583</v>
      </c>
      <c r="W192" s="1527">
        <f t="shared" si="135"/>
        <v>0.34517500304929016</v>
      </c>
      <c r="X192" s="527">
        <f t="shared" si="143"/>
        <v>25159.78399013642</v>
      </c>
      <c r="Y192" s="1509">
        <f t="shared" si="144"/>
        <v>22106.124617340491</v>
      </c>
      <c r="Z192" s="1531">
        <f t="shared" si="145"/>
        <v>3761.3857443265993</v>
      </c>
      <c r="AA192" s="1531">
        <f t="shared" si="146"/>
        <v>0</v>
      </c>
      <c r="AB192" s="1531">
        <f t="shared" si="147"/>
        <v>20040.610574364066</v>
      </c>
      <c r="AC192" s="1531">
        <f t="shared" si="148"/>
        <v>71067.904926167583</v>
      </c>
      <c r="AD192" s="1005">
        <f t="shared" si="149"/>
        <v>11471.842320613341</v>
      </c>
      <c r="AE192" s="1454">
        <f t="shared" si="150"/>
        <v>0.35402456307491981</v>
      </c>
      <c r="AF192" s="1504">
        <f t="shared" si="151"/>
        <v>0.31105637123124052</v>
      </c>
      <c r="AG192" s="1504">
        <f t="shared" si="152"/>
        <v>5.2926644569504355E-2</v>
      </c>
      <c r="AH192" s="1504">
        <f t="shared" si="165"/>
        <v>0</v>
      </c>
      <c r="AI192" s="1504">
        <f t="shared" si="153"/>
        <v>0.2819924211243352</v>
      </c>
      <c r="AJ192" s="1504">
        <f t="shared" si="154"/>
        <v>0.99999999999999989</v>
      </c>
      <c r="AK192" s="1555">
        <f t="shared" si="155"/>
        <v>25159.78399013642</v>
      </c>
      <c r="AL192" s="1556">
        <f t="shared" si="156"/>
        <v>0</v>
      </c>
      <c r="AM192" s="1556">
        <f t="shared" si="157"/>
        <v>0</v>
      </c>
      <c r="AN192" s="1556">
        <f t="shared" si="158"/>
        <v>25159.78399013642</v>
      </c>
      <c r="AO192" s="1543">
        <f t="shared" si="159"/>
        <v>0</v>
      </c>
    </row>
    <row r="193" spans="1:41">
      <c r="A193" s="873">
        <f>'Input data'!A133</f>
        <v>2033</v>
      </c>
      <c r="B193" s="1551">
        <f>'Input data'!B133</f>
        <v>67.659204065895452</v>
      </c>
      <c r="C193" s="1550">
        <f>'Input data'!C133</f>
        <v>5694.7516404688276</v>
      </c>
      <c r="D193" s="1511">
        <f>'Input data'!E133</f>
        <v>41056214.022582531</v>
      </c>
      <c r="E193" s="1508">
        <f>'Input data'!J133*C193</f>
        <v>68513.816819849919</v>
      </c>
      <c r="F193" s="1509">
        <f>'Input data'!L133</f>
        <v>109570.03084243245</v>
      </c>
      <c r="G193" s="1557">
        <f>G192</f>
        <v>13687.941669523079</v>
      </c>
      <c r="H193" s="1509">
        <f t="shared" si="160"/>
        <v>64155.071116446576</v>
      </c>
      <c r="I193" s="1511">
        <f t="shared" si="136"/>
        <v>41056.214022582528</v>
      </c>
      <c r="J193" s="1504">
        <f t="shared" si="170"/>
        <v>0.4</v>
      </c>
      <c r="K193" s="1512">
        <f t="shared" si="162"/>
        <v>13895.568480663906</v>
      </c>
      <c r="L193" s="1512">
        <f t="shared" si="137"/>
        <v>0</v>
      </c>
      <c r="M193" s="1511">
        <f t="shared" si="163"/>
        <v>13895.568480663906</v>
      </c>
      <c r="N193" s="1454">
        <f t="shared" si="169"/>
        <v>0.5</v>
      </c>
      <c r="O193" s="530">
        <f t="shared" si="138"/>
        <v>751.91700000000026</v>
      </c>
      <c r="P193" s="1210">
        <f t="shared" si="166"/>
        <v>14647.485480663905</v>
      </c>
      <c r="Q193" s="1364">
        <f t="shared" si="139"/>
        <v>63195.527305305746</v>
      </c>
      <c r="R193" s="1364">
        <f t="shared" si="164"/>
        <v>49507.585635782671</v>
      </c>
      <c r="S193" s="576">
        <f t="shared" si="140"/>
        <v>1.283850521982947</v>
      </c>
      <c r="T193" s="135" t="str">
        <f t="shared" si="141"/>
        <v>No</v>
      </c>
      <c r="U193" s="1526">
        <f t="shared" si="142"/>
        <v>1</v>
      </c>
      <c r="V193" s="1494">
        <f t="shared" si="134"/>
        <v>71008.231950676243</v>
      </c>
      <c r="W193" s="1527">
        <f t="shared" si="135"/>
        <v>0.35193746497352119</v>
      </c>
      <c r="X193" s="527">
        <f t="shared" si="143"/>
        <v>24633.728413549517</v>
      </c>
      <c r="Y193" s="1509">
        <f t="shared" si="144"/>
        <v>21908.944706902541</v>
      </c>
      <c r="Z193" s="1531">
        <f t="shared" si="145"/>
        <v>3848.0219164089949</v>
      </c>
      <c r="AA193" s="1531">
        <f t="shared" si="146"/>
        <v>0</v>
      </c>
      <c r="AB193" s="1531">
        <f t="shared" si="147"/>
        <v>20617.53691381518</v>
      </c>
      <c r="AC193" s="1531">
        <f t="shared" si="148"/>
        <v>71008.231950676243</v>
      </c>
      <c r="AD193" s="1005">
        <f t="shared" si="149"/>
        <v>10945.786744026438</v>
      </c>
      <c r="AE193" s="1454">
        <f t="shared" si="150"/>
        <v>0.3469136991139366</v>
      </c>
      <c r="AF193" s="1504">
        <f t="shared" si="151"/>
        <v>0.30854091286374991</v>
      </c>
      <c r="AG193" s="1504">
        <f t="shared" si="152"/>
        <v>5.4191208690872752E-2</v>
      </c>
      <c r="AH193" s="1504">
        <f t="shared" si="165"/>
        <v>0</v>
      </c>
      <c r="AI193" s="1504">
        <f t="shared" si="153"/>
        <v>0.29035417933144059</v>
      </c>
      <c r="AJ193" s="1504">
        <f t="shared" si="154"/>
        <v>0.99999999999999989</v>
      </c>
      <c r="AK193" s="1555">
        <f t="shared" si="155"/>
        <v>24633.728413549521</v>
      </c>
      <c r="AL193" s="1556">
        <f t="shared" si="156"/>
        <v>0</v>
      </c>
      <c r="AM193" s="1556">
        <f t="shared" si="157"/>
        <v>0</v>
      </c>
      <c r="AN193" s="1556">
        <f t="shared" si="158"/>
        <v>24633.728413549521</v>
      </c>
      <c r="AO193" s="1543">
        <f t="shared" si="159"/>
        <v>0</v>
      </c>
    </row>
    <row r="194" spans="1:41">
      <c r="A194" s="873">
        <f>'Input data'!A134</f>
        <v>2034</v>
      </c>
      <c r="B194" s="1551">
        <f>'Input data'!B134</f>
        <v>68.236626094715163</v>
      </c>
      <c r="C194" s="1550">
        <f>'Input data'!C134</f>
        <v>5880.7243334969316</v>
      </c>
      <c r="D194" s="1511">
        <f>'Input data'!E134</f>
        <v>40488564.369250603</v>
      </c>
      <c r="E194" s="1508">
        <f>'Input data'!J134*C194</f>
        <v>70751.262775012379</v>
      </c>
      <c r="F194" s="1509">
        <f>'Input data'!L134</f>
        <v>111239.82714426299</v>
      </c>
      <c r="G194" s="1557">
        <f t="shared" ref="G194:G210" si="171">G193</f>
        <v>13687.941669523079</v>
      </c>
      <c r="H194" s="1509">
        <f t="shared" si="160"/>
        <v>64906.221434696068</v>
      </c>
      <c r="I194" s="1511">
        <f t="shared" si="136"/>
        <v>40488.564369250606</v>
      </c>
      <c r="J194" s="1504">
        <f t="shared" si="170"/>
        <v>0.4</v>
      </c>
      <c r="K194" s="1512">
        <f t="shared" si="162"/>
        <v>13703.446171808049</v>
      </c>
      <c r="L194" s="1512">
        <f t="shared" si="137"/>
        <v>0</v>
      </c>
      <c r="M194" s="1511">
        <f t="shared" si="163"/>
        <v>13703.446171808049</v>
      </c>
      <c r="N194" s="1454">
        <f t="shared" si="169"/>
        <v>0.5</v>
      </c>
      <c r="O194" s="530">
        <f t="shared" si="138"/>
        <v>751.91700000000026</v>
      </c>
      <c r="P194" s="1210">
        <f t="shared" si="166"/>
        <v>14455.363171808049</v>
      </c>
      <c r="Q194" s="1364">
        <f t="shared" si="139"/>
        <v>64138.799932411093</v>
      </c>
      <c r="R194" s="1364">
        <f t="shared" si="164"/>
        <v>50450.85826288801</v>
      </c>
      <c r="S194" s="576">
        <f t="shared" si="140"/>
        <v>1.2661568814052191</v>
      </c>
      <c r="T194" s="135" t="str">
        <f t="shared" si="141"/>
        <v>No</v>
      </c>
      <c r="U194" s="1526">
        <f t="shared" si="142"/>
        <v>1</v>
      </c>
      <c r="V194" s="1494">
        <f t="shared" si="134"/>
        <v>71394.16583340225</v>
      </c>
      <c r="W194" s="1527">
        <f t="shared" si="135"/>
        <v>0.35819600168190047</v>
      </c>
      <c r="X194" s="527">
        <f t="shared" si="143"/>
        <v>24293.138621550363</v>
      </c>
      <c r="Y194" s="1509">
        <f t="shared" si="144"/>
        <v>21861.055358708316</v>
      </c>
      <c r="Z194" s="1531">
        <f t="shared" si="145"/>
        <v>3949.1309735819841</v>
      </c>
      <c r="AA194" s="1531">
        <f t="shared" si="146"/>
        <v>0</v>
      </c>
      <c r="AB194" s="1531">
        <f t="shared" si="147"/>
        <v>21290.840879561598</v>
      </c>
      <c r="AC194" s="1531">
        <f t="shared" si="148"/>
        <v>71394.16583340225</v>
      </c>
      <c r="AD194" s="1005">
        <f t="shared" si="149"/>
        <v>10605.196952027283</v>
      </c>
      <c r="AE194" s="1454">
        <f t="shared" si="150"/>
        <v>0.34026784034760232</v>
      </c>
      <c r="AF194" s="1504">
        <f t="shared" si="151"/>
        <v>0.30620226601877981</v>
      </c>
      <c r="AG194" s="1504">
        <f t="shared" si="152"/>
        <v>5.5314477415385054E-2</v>
      </c>
      <c r="AH194" s="1504">
        <f t="shared" si="165"/>
        <v>0</v>
      </c>
      <c r="AI194" s="1504">
        <f t="shared" si="153"/>
        <v>0.29821541621823294</v>
      </c>
      <c r="AJ194" s="1504">
        <f t="shared" si="154"/>
        <v>1.0000000000000002</v>
      </c>
      <c r="AK194" s="1555">
        <f t="shared" si="155"/>
        <v>24293.138621550359</v>
      </c>
      <c r="AL194" s="1556">
        <f t="shared" si="156"/>
        <v>0</v>
      </c>
      <c r="AM194" s="1556">
        <f t="shared" si="157"/>
        <v>0</v>
      </c>
      <c r="AN194" s="1556">
        <f t="shared" si="158"/>
        <v>24293.138621550359</v>
      </c>
      <c r="AO194" s="1543">
        <f t="shared" si="159"/>
        <v>0</v>
      </c>
    </row>
    <row r="195" spans="1:41">
      <c r="A195" s="873">
        <f>'Input data'!A135</f>
        <v>2035</v>
      </c>
      <c r="B195" s="1551">
        <f>'Input data'!B135</f>
        <v>68.818976000000006</v>
      </c>
      <c r="C195" s="1550">
        <f>'Input data'!C135</f>
        <v>6030.7021264561972</v>
      </c>
      <c r="D195" s="1511">
        <f>'Input data'!E135</f>
        <v>31941700.142198853</v>
      </c>
      <c r="E195" s="1508">
        <f>'Input data'!J135*C195</f>
        <v>72555.652445114043</v>
      </c>
      <c r="F195" s="1509">
        <f>'Input data'!L135</f>
        <v>104497.3525873129</v>
      </c>
      <c r="G195" s="1557">
        <f t="shared" si="171"/>
        <v>13687.941669523079</v>
      </c>
      <c r="H195" s="1509">
        <f t="shared" si="160"/>
        <v>57920.769012387973</v>
      </c>
      <c r="I195" s="1511">
        <f t="shared" si="136"/>
        <v>31941.700142198853</v>
      </c>
      <c r="J195" s="1504">
        <f t="shared" si="170"/>
        <v>0.4</v>
      </c>
      <c r="K195" s="1512">
        <f t="shared" si="162"/>
        <v>10810.740646242306</v>
      </c>
      <c r="L195" s="1512">
        <f t="shared" si="137"/>
        <v>0</v>
      </c>
      <c r="M195" s="1511">
        <f t="shared" si="163"/>
        <v>10810.740646242306</v>
      </c>
      <c r="N195" s="1454">
        <f t="shared" si="169"/>
        <v>0.5</v>
      </c>
      <c r="O195" s="530">
        <f t="shared" si="138"/>
        <v>751.91700000000026</v>
      </c>
      <c r="P195" s="1210">
        <f t="shared" si="166"/>
        <v>11562.657646242305</v>
      </c>
      <c r="Q195" s="1364">
        <f t="shared" si="139"/>
        <v>60046.053035668745</v>
      </c>
      <c r="R195" s="1364">
        <f t="shared" si="164"/>
        <v>46358.111366145662</v>
      </c>
      <c r="S195" s="576">
        <f t="shared" si="140"/>
        <v>1.1339760280139746</v>
      </c>
      <c r="T195" s="135" t="str">
        <f t="shared" si="141"/>
        <v>No</v>
      </c>
      <c r="U195" s="1526">
        <f t="shared" si="142"/>
        <v>1</v>
      </c>
      <c r="V195" s="1494">
        <f t="shared" si="134"/>
        <v>63616.319636963475</v>
      </c>
      <c r="W195" s="1527">
        <f t="shared" si="135"/>
        <v>0.39121596804274272</v>
      </c>
      <c r="X195" s="527">
        <f t="shared" si="143"/>
        <v>19165.020085319313</v>
      </c>
      <c r="Y195" s="1509">
        <f t="shared" si="144"/>
        <v>18586.801838680862</v>
      </c>
      <c r="Z195" s="1531">
        <f t="shared" si="145"/>
        <v>4030.6704350808041</v>
      </c>
      <c r="AA195" s="1531">
        <f t="shared" si="146"/>
        <v>0</v>
      </c>
      <c r="AB195" s="1531">
        <f t="shared" si="147"/>
        <v>21833.82727788249</v>
      </c>
      <c r="AC195" s="1531">
        <f t="shared" si="148"/>
        <v>63616.319636963475</v>
      </c>
      <c r="AD195" s="1005">
        <f t="shared" si="149"/>
        <v>5477.0784157962335</v>
      </c>
      <c r="AE195" s="1454">
        <f t="shared" si="150"/>
        <v>0.30125949119168655</v>
      </c>
      <c r="AF195" s="1504">
        <f t="shared" si="151"/>
        <v>0.292170341584508</v>
      </c>
      <c r="AG195" s="1504">
        <f t="shared" si="152"/>
        <v>6.3359063493180032E-2</v>
      </c>
      <c r="AH195" s="1504">
        <f t="shared" si="165"/>
        <v>0</v>
      </c>
      <c r="AI195" s="1504">
        <f t="shared" si="153"/>
        <v>0.34321110373062536</v>
      </c>
      <c r="AJ195" s="1504">
        <f t="shared" si="154"/>
        <v>0.99999999999999989</v>
      </c>
      <c r="AK195" s="1555">
        <f t="shared" si="155"/>
        <v>19165.020085319309</v>
      </c>
      <c r="AL195" s="1556">
        <f t="shared" si="156"/>
        <v>0</v>
      </c>
      <c r="AM195" s="1556">
        <f t="shared" si="157"/>
        <v>0</v>
      </c>
      <c r="AN195" s="1556">
        <f t="shared" si="158"/>
        <v>19165.020085319309</v>
      </c>
      <c r="AO195" s="1543">
        <f t="shared" si="159"/>
        <v>0</v>
      </c>
    </row>
    <row r="196" spans="1:41">
      <c r="A196" s="873">
        <f>'Input data'!A136</f>
        <v>2036</v>
      </c>
      <c r="B196" s="1551">
        <f>'Input data'!B136</f>
        <v>69.322810489383542</v>
      </c>
      <c r="C196" s="1550">
        <f>'Input data'!C136</f>
        <v>6175.9287194301432</v>
      </c>
      <c r="D196" s="1511">
        <f>'Input data'!E136</f>
        <v>22500187.169642892</v>
      </c>
      <c r="E196" s="1508">
        <f>'Input data'!J136*C196</f>
        <v>74302.880211410215</v>
      </c>
      <c r="F196" s="1509">
        <f>'Input data'!L136</f>
        <v>96803.067381053115</v>
      </c>
      <c r="G196" s="1557">
        <f t="shared" si="171"/>
        <v>13687.941669523079</v>
      </c>
      <c r="H196" s="1509">
        <f t="shared" si="160"/>
        <v>50062.931544317005</v>
      </c>
      <c r="I196" s="1511">
        <f t="shared" si="136"/>
        <v>22500.187169642893</v>
      </c>
      <c r="J196" s="1504">
        <f t="shared" si="170"/>
        <v>0.4</v>
      </c>
      <c r="K196" s="1512">
        <f t="shared" si="162"/>
        <v>7615.2392295976661</v>
      </c>
      <c r="L196" s="1512">
        <f t="shared" si="137"/>
        <v>0</v>
      </c>
      <c r="M196" s="1511">
        <f t="shared" si="163"/>
        <v>7615.2392295976661</v>
      </c>
      <c r="N196" s="1454">
        <f t="shared" si="169"/>
        <v>0.5</v>
      </c>
      <c r="O196" s="530">
        <f t="shared" si="138"/>
        <v>751.91700000000026</v>
      </c>
      <c r="P196" s="1210">
        <f t="shared" si="166"/>
        <v>8367.1562295976655</v>
      </c>
      <c r="Q196" s="1364">
        <f t="shared" si="139"/>
        <v>55383.716984242419</v>
      </c>
      <c r="R196" s="1364">
        <f t="shared" si="164"/>
        <v>41695.775314719343</v>
      </c>
      <c r="S196" s="576">
        <f t="shared" si="140"/>
        <v>0.99551544407026604</v>
      </c>
      <c r="T196" s="135" t="str">
        <f t="shared" si="141"/>
        <v>Yes</v>
      </c>
      <c r="U196" s="1526">
        <f t="shared" si="142"/>
        <v>0.99551544407026604</v>
      </c>
      <c r="V196" s="1494">
        <f t="shared" si="134"/>
        <v>55107.292066333779</v>
      </c>
      <c r="W196" s="1527">
        <f t="shared" si="135"/>
        <v>0.43072783169761708</v>
      </c>
      <c r="X196" s="527">
        <f t="shared" si="143"/>
        <v>13687.941669523079</v>
      </c>
      <c r="Y196" s="1509">
        <f t="shared" si="144"/>
        <v>14950.11140144718</v>
      </c>
      <c r="Z196" s="1531">
        <f t="shared" si="145"/>
        <v>4109.6267789017866</v>
      </c>
      <c r="AA196" s="1531">
        <f t="shared" si="146"/>
        <v>0</v>
      </c>
      <c r="AB196" s="1531">
        <f t="shared" si="147"/>
        <v>22359.612216461734</v>
      </c>
      <c r="AC196" s="1531">
        <f t="shared" si="148"/>
        <v>55107.292066333779</v>
      </c>
      <c r="AD196" s="1005">
        <f t="shared" si="149"/>
        <v>0</v>
      </c>
      <c r="AE196" s="1454">
        <f t="shared" si="150"/>
        <v>0.24838712185397574</v>
      </c>
      <c r="AF196" s="1504">
        <f t="shared" si="151"/>
        <v>0.27129098238852717</v>
      </c>
      <c r="AG196" s="1504">
        <f t="shared" si="152"/>
        <v>7.4575008584253144E-2</v>
      </c>
      <c r="AH196" s="1504">
        <f t="shared" si="165"/>
        <v>0</v>
      </c>
      <c r="AI196" s="1504">
        <f t="shared" si="153"/>
        <v>0.40574688717324398</v>
      </c>
      <c r="AJ196" s="1504">
        <f t="shared" si="154"/>
        <v>1</v>
      </c>
      <c r="AK196" s="1555">
        <f t="shared" si="155"/>
        <v>13500.112301785734</v>
      </c>
      <c r="AL196" s="1556">
        <f t="shared" si="156"/>
        <v>177.84116336312255</v>
      </c>
      <c r="AM196" s="1556">
        <f t="shared" si="157"/>
        <v>9.9882043742214659</v>
      </c>
      <c r="AN196" s="1556">
        <f t="shared" si="158"/>
        <v>13687.941669523078</v>
      </c>
      <c r="AO196" s="1543">
        <f t="shared" si="159"/>
        <v>0</v>
      </c>
    </row>
    <row r="197" spans="1:41">
      <c r="A197" s="873">
        <f>'Input data'!A137</f>
        <v>2037</v>
      </c>
      <c r="B197" s="1551">
        <f>'Input data'!B137</f>
        <v>69.830333629884052</v>
      </c>
      <c r="C197" s="1550">
        <f>'Input data'!C137</f>
        <v>6338.2033947034479</v>
      </c>
      <c r="D197" s="1511">
        <f>'Input data'!E137</f>
        <v>17781297.212015409</v>
      </c>
      <c r="E197" s="1508">
        <f>'Input data'!J137*C197</f>
        <v>76255.214233699648</v>
      </c>
      <c r="F197" s="1509">
        <f>'Input data'!L137</f>
        <v>94036.511445715063</v>
      </c>
      <c r="G197" s="1557">
        <f t="shared" si="171"/>
        <v>13687.941669523079</v>
      </c>
      <c r="H197" s="1509">
        <f t="shared" si="160"/>
        <v>46754.741754360221</v>
      </c>
      <c r="I197" s="1511">
        <f t="shared" si="136"/>
        <v>17781.297212015408</v>
      </c>
      <c r="J197" s="1504">
        <f t="shared" si="170"/>
        <v>0.4</v>
      </c>
      <c r="K197" s="1512">
        <f t="shared" si="162"/>
        <v>6018.1202521180821</v>
      </c>
      <c r="L197" s="1512">
        <f t="shared" si="137"/>
        <v>0</v>
      </c>
      <c r="M197" s="1511">
        <f t="shared" si="163"/>
        <v>6018.1202521180821</v>
      </c>
      <c r="N197" s="1454">
        <f t="shared" si="169"/>
        <v>0.5</v>
      </c>
      <c r="O197" s="530">
        <f t="shared" si="138"/>
        <v>751.91700000000026</v>
      </c>
      <c r="P197" s="1210">
        <f t="shared" si="166"/>
        <v>6770.0372521180825</v>
      </c>
      <c r="Q197" s="1364">
        <f t="shared" si="139"/>
        <v>53672.646171765213</v>
      </c>
      <c r="R197" s="1364">
        <f t="shared" si="164"/>
        <v>39984.704502242137</v>
      </c>
      <c r="S197" s="576">
        <f t="shared" si="140"/>
        <v>0.92979321410745985</v>
      </c>
      <c r="T197" s="135" t="str">
        <f t="shared" si="141"/>
        <v>Yes</v>
      </c>
      <c r="U197" s="1526">
        <f t="shared" si="142"/>
        <v>0.92979321410745985</v>
      </c>
      <c r="V197" s="1494">
        <f t="shared" si="134"/>
        <v>54051.806943472926</v>
      </c>
      <c r="W197" s="1527">
        <f t="shared" si="135"/>
        <v>0.42520403923452976</v>
      </c>
      <c r="X197" s="527">
        <f t="shared" si="143"/>
        <v>13687.941669523076</v>
      </c>
      <c r="Y197" s="1509">
        <f t="shared" si="144"/>
        <v>13218.894697914573</v>
      </c>
      <c r="Z197" s="1531">
        <f t="shared" si="145"/>
        <v>4197.8517712529874</v>
      </c>
      <c r="AA197" s="1531">
        <f t="shared" si="146"/>
        <v>0</v>
      </c>
      <c r="AB197" s="1531">
        <f t="shared" si="147"/>
        <v>22947.118804782291</v>
      </c>
      <c r="AC197" s="1531">
        <f t="shared" si="148"/>
        <v>54051.806943472926</v>
      </c>
      <c r="AD197" s="1005">
        <f t="shared" si="149"/>
        <v>0</v>
      </c>
      <c r="AE197" s="1454">
        <f t="shared" si="150"/>
        <v>0.25323744835834716</v>
      </c>
      <c r="AF197" s="1504">
        <f t="shared" si="151"/>
        <v>0.24455971863695175</v>
      </c>
      <c r="AG197" s="1504">
        <f t="shared" si="152"/>
        <v>7.7663486359356632E-2</v>
      </c>
      <c r="AH197" s="1504">
        <f t="shared" si="165"/>
        <v>0</v>
      </c>
      <c r="AI197" s="1504">
        <f t="shared" si="153"/>
        <v>0.42453934664534448</v>
      </c>
      <c r="AJ197" s="1504">
        <f t="shared" si="154"/>
        <v>1</v>
      </c>
      <c r="AK197" s="1555">
        <f t="shared" si="155"/>
        <v>10668.778327209246</v>
      </c>
      <c r="AL197" s="1556">
        <f t="shared" si="156"/>
        <v>2857.2999527165493</v>
      </c>
      <c r="AM197" s="1556">
        <f t="shared" si="157"/>
        <v>161.86338959728286</v>
      </c>
      <c r="AN197" s="1556">
        <f t="shared" si="158"/>
        <v>13687.941669523078</v>
      </c>
      <c r="AO197" s="1543">
        <f t="shared" si="159"/>
        <v>0</v>
      </c>
    </row>
    <row r="198" spans="1:41">
      <c r="A198" s="873">
        <f>'Input data'!A138</f>
        <v>2038</v>
      </c>
      <c r="B198" s="1551">
        <f>'Input data'!B138</f>
        <v>70.341572426693446</v>
      </c>
      <c r="C198" s="1550">
        <f>'Input data'!C138</f>
        <v>6499.2753713641341</v>
      </c>
      <c r="D198" s="1511">
        <f>'Input data'!E138</f>
        <v>14837853.800490763</v>
      </c>
      <c r="E198" s="1508">
        <f>'Input data'!J138*C198</f>
        <v>78193.078534105356</v>
      </c>
      <c r="F198" s="1509">
        <f>'Input data'!L138</f>
        <v>93030.932334596117</v>
      </c>
      <c r="G198" s="1557">
        <f t="shared" si="171"/>
        <v>13687.941669523079</v>
      </c>
      <c r="H198" s="1509">
        <f t="shared" si="160"/>
        <v>45104.420961159514</v>
      </c>
      <c r="I198" s="1511">
        <f t="shared" si="136"/>
        <v>14837.853800490762</v>
      </c>
      <c r="J198" s="1504">
        <f t="shared" si="170"/>
        <v>0.4</v>
      </c>
      <c r="K198" s="1512">
        <f t="shared" si="162"/>
        <v>5021.9051731704076</v>
      </c>
      <c r="L198" s="1512">
        <f t="shared" si="137"/>
        <v>0</v>
      </c>
      <c r="M198" s="1511">
        <f t="shared" si="163"/>
        <v>5021.9051731704076</v>
      </c>
      <c r="N198" s="1454">
        <f t="shared" si="169"/>
        <v>0.5</v>
      </c>
      <c r="O198" s="530">
        <f t="shared" si="138"/>
        <v>751.91700000000026</v>
      </c>
      <c r="P198" s="1210">
        <f t="shared" si="166"/>
        <v>5773.822173170408</v>
      </c>
      <c r="Q198" s="1364">
        <f t="shared" si="139"/>
        <v>53018.540457512179</v>
      </c>
      <c r="R198" s="1364">
        <f t="shared" si="164"/>
        <v>39330.598787989104</v>
      </c>
      <c r="S198" s="576">
        <f t="shared" si="140"/>
        <v>0.89153032852503933</v>
      </c>
      <c r="T198" s="135" t="str">
        <f t="shared" si="141"/>
        <v>Yes</v>
      </c>
      <c r="U198" s="1526">
        <f t="shared" si="142"/>
        <v>0.89153032852503933</v>
      </c>
      <c r="V198" s="1494">
        <f t="shared" si="134"/>
        <v>53700.333546607028</v>
      </c>
      <c r="W198" s="1527">
        <f t="shared" si="135"/>
        <v>0.42276904897106915</v>
      </c>
      <c r="X198" s="527">
        <f t="shared" si="143"/>
        <v>13687.941669523078</v>
      </c>
      <c r="Y198" s="1509">
        <f t="shared" si="144"/>
        <v>12196.697904390883</v>
      </c>
      <c r="Z198" s="1531">
        <f t="shared" si="145"/>
        <v>4285.4228841512158</v>
      </c>
      <c r="AA198" s="1531">
        <f t="shared" si="146"/>
        <v>0</v>
      </c>
      <c r="AB198" s="1531">
        <f t="shared" si="147"/>
        <v>23530.271088541846</v>
      </c>
      <c r="AC198" s="1531">
        <f t="shared" si="148"/>
        <v>53700.333546607028</v>
      </c>
      <c r="AD198" s="1005">
        <f t="shared" si="149"/>
        <v>0</v>
      </c>
      <c r="AE198" s="1454">
        <f t="shared" si="150"/>
        <v>0.25489490968697959</v>
      </c>
      <c r="AF198" s="1504">
        <f t="shared" si="151"/>
        <v>0.22712517965657053</v>
      </c>
      <c r="AG198" s="1504">
        <f t="shared" si="152"/>
        <v>7.9802537547217597E-2</v>
      </c>
      <c r="AH198" s="1504">
        <f t="shared" si="165"/>
        <v>0</v>
      </c>
      <c r="AI198" s="1504">
        <f t="shared" si="153"/>
        <v>0.43817737310923222</v>
      </c>
      <c r="AJ198" s="1504">
        <f t="shared" si="154"/>
        <v>0.99999999999999989</v>
      </c>
      <c r="AK198" s="1555">
        <f t="shared" si="155"/>
        <v>8902.7122802944559</v>
      </c>
      <c r="AL198" s="1556">
        <f t="shared" si="156"/>
        <v>4526.7221055766722</v>
      </c>
      <c r="AM198" s="1556">
        <f t="shared" si="157"/>
        <v>258.50728365194686</v>
      </c>
      <c r="AN198" s="1556">
        <f t="shared" si="158"/>
        <v>13687.941669523076</v>
      </c>
      <c r="AO198" s="1543">
        <f t="shared" si="159"/>
        <v>0</v>
      </c>
    </row>
    <row r="199" spans="1:41">
      <c r="A199" s="873">
        <f>'Input data'!A139</f>
        <v>2039</v>
      </c>
      <c r="B199" s="1551">
        <f>'Input data'!B139</f>
        <v>70.856554082712819</v>
      </c>
      <c r="C199" s="1550">
        <f>'Input data'!C139</f>
        <v>6668.6889746882025</v>
      </c>
      <c r="D199" s="1511">
        <f>'Input data'!E139</f>
        <v>11894410.388966125</v>
      </c>
      <c r="E199" s="1508">
        <f>'Input data'!J139*C199</f>
        <v>80231.30132550007</v>
      </c>
      <c r="F199" s="1509">
        <f>'Input data'!L139</f>
        <v>92125.71171446619</v>
      </c>
      <c r="G199" s="1557">
        <f t="shared" si="171"/>
        <v>13687.941669523079</v>
      </c>
      <c r="H199" s="1509">
        <f t="shared" si="160"/>
        <v>43511.68658461461</v>
      </c>
      <c r="I199" s="1511">
        <f t="shared" si="136"/>
        <v>11894.410388966124</v>
      </c>
      <c r="J199" s="1504">
        <f t="shared" si="170"/>
        <v>0.4</v>
      </c>
      <c r="K199" s="1512">
        <f t="shared" si="162"/>
        <v>4025.6900942227339</v>
      </c>
      <c r="L199" s="1512">
        <f t="shared" si="137"/>
        <v>0</v>
      </c>
      <c r="M199" s="1511">
        <f t="shared" si="163"/>
        <v>4025.6900942227339</v>
      </c>
      <c r="N199" s="1454">
        <f t="shared" si="169"/>
        <v>0.5</v>
      </c>
      <c r="O199" s="530">
        <f t="shared" si="138"/>
        <v>751.91700000000026</v>
      </c>
      <c r="P199" s="1210">
        <f t="shared" si="166"/>
        <v>4777.6070942227343</v>
      </c>
      <c r="Q199" s="1364">
        <f t="shared" si="139"/>
        <v>52422.021159914962</v>
      </c>
      <c r="R199" s="1364">
        <f t="shared" si="164"/>
        <v>38734.079490391887</v>
      </c>
      <c r="S199" s="576">
        <f t="shared" si="140"/>
        <v>0.85533308608416481</v>
      </c>
      <c r="T199" s="135" t="str">
        <f t="shared" si="141"/>
        <v>Yes</v>
      </c>
      <c r="U199" s="1526">
        <f t="shared" si="142"/>
        <v>0.85533308608416481</v>
      </c>
      <c r="V199" s="1494">
        <f t="shared" si="134"/>
        <v>53391.632224074317</v>
      </c>
      <c r="W199" s="1527">
        <f t="shared" si="135"/>
        <v>0.42044808956748159</v>
      </c>
      <c r="X199" s="527">
        <f t="shared" si="143"/>
        <v>13687.941669523076</v>
      </c>
      <c r="Y199" s="1509">
        <f t="shared" si="144"/>
        <v>11182.537632279847</v>
      </c>
      <c r="Z199" s="1531">
        <f t="shared" si="145"/>
        <v>4377.5291467721845</v>
      </c>
      <c r="AA199" s="1531">
        <f t="shared" si="146"/>
        <v>0</v>
      </c>
      <c r="AB199" s="1531">
        <f t="shared" si="147"/>
        <v>24143.623775499214</v>
      </c>
      <c r="AC199" s="1531">
        <f t="shared" si="148"/>
        <v>53391.632224074317</v>
      </c>
      <c r="AD199" s="1005">
        <f t="shared" si="149"/>
        <v>0</v>
      </c>
      <c r="AE199" s="1454">
        <f t="shared" si="150"/>
        <v>0.25636866863476737</v>
      </c>
      <c r="AF199" s="1504">
        <f t="shared" si="151"/>
        <v>0.20944363688581213</v>
      </c>
      <c r="AG199" s="1504">
        <f t="shared" si="152"/>
        <v>8.1989048928126876E-2</v>
      </c>
      <c r="AH199" s="1504">
        <f t="shared" si="165"/>
        <v>0</v>
      </c>
      <c r="AI199" s="1504">
        <f t="shared" si="153"/>
        <v>0.45219864555129374</v>
      </c>
      <c r="AJ199" s="1504">
        <f t="shared" si="154"/>
        <v>1</v>
      </c>
      <c r="AK199" s="1555">
        <f t="shared" si="155"/>
        <v>7136.6462333796744</v>
      </c>
      <c r="AL199" s="1556">
        <f t="shared" si="156"/>
        <v>6194.6995957233803</v>
      </c>
      <c r="AM199" s="1556">
        <f t="shared" si="157"/>
        <v>356.5958404200191</v>
      </c>
      <c r="AN199" s="1556">
        <f t="shared" si="158"/>
        <v>13687.941669523074</v>
      </c>
      <c r="AO199" s="1543">
        <f t="shared" si="159"/>
        <v>0</v>
      </c>
    </row>
    <row r="200" spans="1:41">
      <c r="A200" s="873">
        <f>'Input data'!A140</f>
        <v>2040</v>
      </c>
      <c r="B200" s="1551">
        <f>'Input data'!B140</f>
        <v>71.375305999999995</v>
      </c>
      <c r="C200" s="1550">
        <f>'Input data'!C140</f>
        <v>6840.2471934556306</v>
      </c>
      <c r="D200" s="1511">
        <f>'Input data'!E140</f>
        <v>8950966.9774414804</v>
      </c>
      <c r="E200" s="1508">
        <f>'Input data'!J140*C200</f>
        <v>82295.326083145788</v>
      </c>
      <c r="F200" s="1509">
        <f>'Input data'!L140</f>
        <v>91246.293060587268</v>
      </c>
      <c r="G200" s="1557">
        <f t="shared" si="171"/>
        <v>13687.941669523079</v>
      </c>
      <c r="H200" s="1509">
        <f t="shared" si="160"/>
        <v>41933.757560007813</v>
      </c>
      <c r="I200" s="1511">
        <f t="shared" si="136"/>
        <v>8950.9669774414797</v>
      </c>
      <c r="J200" s="1504">
        <f t="shared" si="170"/>
        <v>0.4</v>
      </c>
      <c r="K200" s="1512">
        <f t="shared" si="162"/>
        <v>3029.4750152750594</v>
      </c>
      <c r="L200" s="1512">
        <f t="shared" si="137"/>
        <v>0</v>
      </c>
      <c r="M200" s="1511">
        <f t="shared" si="163"/>
        <v>3029.4750152750594</v>
      </c>
      <c r="N200" s="1454">
        <f t="shared" si="169"/>
        <v>0.5</v>
      </c>
      <c r="O200" s="530">
        <f t="shared" si="138"/>
        <v>751.91700000000026</v>
      </c>
      <c r="P200" s="1210">
        <f t="shared" si="166"/>
        <v>3781.3920152750597</v>
      </c>
      <c r="Q200" s="1364">
        <f t="shared" si="139"/>
        <v>51840.30721425583</v>
      </c>
      <c r="R200" s="1364">
        <f t="shared" si="164"/>
        <v>38152.365544732747</v>
      </c>
      <c r="S200" s="576">
        <f t="shared" si="140"/>
        <v>0.82101548653203738</v>
      </c>
      <c r="T200" s="135" t="str">
        <f t="shared" si="141"/>
        <v>Yes</v>
      </c>
      <c r="U200" s="1526">
        <f t="shared" si="142"/>
        <v>0.82101548653203738</v>
      </c>
      <c r="V200" s="1494">
        <f t="shared" si="134"/>
        <v>53093.927515854528</v>
      </c>
      <c r="W200" s="1527">
        <f t="shared" si="135"/>
        <v>0.41812510147014614</v>
      </c>
      <c r="X200" s="527">
        <f t="shared" si="143"/>
        <v>13687.941669523081</v>
      </c>
      <c r="Y200" s="1509">
        <f t="shared" si="144"/>
        <v>10170.443533665652</v>
      </c>
      <c r="Z200" s="1531">
        <f t="shared" si="145"/>
        <v>4470.8013872684305</v>
      </c>
      <c r="AA200" s="1531">
        <f t="shared" si="146"/>
        <v>0</v>
      </c>
      <c r="AB200" s="1531">
        <f t="shared" si="147"/>
        <v>24764.740925397364</v>
      </c>
      <c r="AC200" s="1531">
        <f t="shared" si="148"/>
        <v>53093.927515854528</v>
      </c>
      <c r="AD200" s="1005">
        <f t="shared" si="149"/>
        <v>0</v>
      </c>
      <c r="AE200" s="1454">
        <f t="shared" si="150"/>
        <v>0.25780616183339772</v>
      </c>
      <c r="AF200" s="1504">
        <f t="shared" si="151"/>
        <v>0.19155568272150569</v>
      </c>
      <c r="AG200" s="1504">
        <f t="shared" si="152"/>
        <v>8.4205512691322218E-2</v>
      </c>
      <c r="AH200" s="1504">
        <f t="shared" si="165"/>
        <v>0</v>
      </c>
      <c r="AI200" s="1504">
        <f t="shared" si="153"/>
        <v>0.46643264275377433</v>
      </c>
      <c r="AJ200" s="1504">
        <f t="shared" si="154"/>
        <v>1</v>
      </c>
      <c r="AK200" s="1555">
        <f t="shared" si="155"/>
        <v>5370.5801864648884</v>
      </c>
      <c r="AL200" s="1556">
        <f t="shared" si="156"/>
        <v>7861.3625074023694</v>
      </c>
      <c r="AM200" s="1556">
        <f t="shared" si="157"/>
        <v>455.99897565582518</v>
      </c>
      <c r="AN200" s="1556">
        <f t="shared" si="158"/>
        <v>13687.941669523083</v>
      </c>
      <c r="AO200" s="1543">
        <f t="shared" si="159"/>
        <v>0</v>
      </c>
    </row>
    <row r="201" spans="1:41">
      <c r="A201" s="873">
        <f>'Input data'!A141</f>
        <v>2041</v>
      </c>
      <c r="B201" s="1551">
        <f>'Input data'!B141</f>
        <v>71.818612994947316</v>
      </c>
      <c r="C201" s="1550">
        <f>'Input data'!C141</f>
        <v>7028.9784058300729</v>
      </c>
      <c r="D201" s="1511">
        <f>'Input data'!E141</f>
        <v>7408427.529416549</v>
      </c>
      <c r="E201" s="1508">
        <f>'Input data'!J141*C201</f>
        <v>84565.959910426493</v>
      </c>
      <c r="F201" s="1509">
        <f>'Input data'!L141</f>
        <v>91974.387439843034</v>
      </c>
      <c r="G201" s="1557">
        <f t="shared" si="171"/>
        <v>13687.941669523079</v>
      </c>
      <c r="H201" s="1509">
        <f t="shared" si="160"/>
        <v>41789.063783117614</v>
      </c>
      <c r="I201" s="1511">
        <f t="shared" si="136"/>
        <v>7408.4275294165491</v>
      </c>
      <c r="J201" s="1504">
        <f t="shared" si="170"/>
        <v>0.4</v>
      </c>
      <c r="K201" s="1512">
        <f t="shared" si="162"/>
        <v>2507.3990507848575</v>
      </c>
      <c r="L201" s="1512">
        <f t="shared" si="137"/>
        <v>0</v>
      </c>
      <c r="M201" s="1511">
        <f t="shared" si="163"/>
        <v>2507.3990507848575</v>
      </c>
      <c r="N201" s="1454">
        <f t="shared" si="169"/>
        <v>0.5</v>
      </c>
      <c r="O201" s="530">
        <f t="shared" si="138"/>
        <v>751.91700000000026</v>
      </c>
      <c r="P201" s="1210">
        <f t="shared" si="166"/>
        <v>3259.3160507848579</v>
      </c>
      <c r="Q201" s="1364">
        <f t="shared" si="139"/>
        <v>52217.689401855838</v>
      </c>
      <c r="R201" s="1364">
        <f t="shared" si="164"/>
        <v>38529.747732332762</v>
      </c>
      <c r="S201" s="576">
        <f t="shared" si="140"/>
        <v>0.80652342996718251</v>
      </c>
      <c r="T201" s="135" t="str">
        <f t="shared" si="141"/>
        <v>Yes</v>
      </c>
      <c r="U201" s="1526">
        <f t="shared" si="142"/>
        <v>0.80652342996718251</v>
      </c>
      <c r="V201" s="1494">
        <f t="shared" si="134"/>
        <v>53444.639707510287</v>
      </c>
      <c r="W201" s="1527">
        <f t="shared" si="135"/>
        <v>0.41891823152976793</v>
      </c>
      <c r="X201" s="527">
        <f t="shared" si="143"/>
        <v>13687.941669523074</v>
      </c>
      <c r="Y201" s="1509">
        <f t="shared" si="144"/>
        <v>9735.2558907040348</v>
      </c>
      <c r="Z201" s="1531">
        <f t="shared" si="145"/>
        <v>4573.4101876873783</v>
      </c>
      <c r="AA201" s="1531">
        <f t="shared" si="146"/>
        <v>0</v>
      </c>
      <c r="AB201" s="1531">
        <f t="shared" si="147"/>
        <v>25448.031959595799</v>
      </c>
      <c r="AC201" s="1531">
        <f t="shared" si="148"/>
        <v>53444.639707510287</v>
      </c>
      <c r="AD201" s="1005">
        <f t="shared" si="149"/>
        <v>0</v>
      </c>
      <c r="AE201" s="1454">
        <f t="shared" si="150"/>
        <v>0.25611439696167659</v>
      </c>
      <c r="AF201" s="1504">
        <f t="shared" si="151"/>
        <v>0.1821558896080647</v>
      </c>
      <c r="AG201" s="1504">
        <f t="shared" si="152"/>
        <v>8.5572850948505905E-2</v>
      </c>
      <c r="AH201" s="1504">
        <f t="shared" si="165"/>
        <v>0</v>
      </c>
      <c r="AI201" s="1504">
        <f t="shared" si="153"/>
        <v>0.47615686248175276</v>
      </c>
      <c r="AJ201" s="1504">
        <f t="shared" si="154"/>
        <v>1</v>
      </c>
      <c r="AK201" s="1555">
        <f t="shared" si="155"/>
        <v>4445.0565176499294</v>
      </c>
      <c r="AL201" s="1556">
        <f t="shared" si="156"/>
        <v>8732.3505118325393</v>
      </c>
      <c r="AM201" s="1556">
        <f t="shared" si="157"/>
        <v>510.5346400406039</v>
      </c>
      <c r="AN201" s="1556">
        <f t="shared" si="158"/>
        <v>13687.941669523072</v>
      </c>
      <c r="AO201" s="1543">
        <f t="shared" si="159"/>
        <v>0</v>
      </c>
    </row>
    <row r="202" spans="1:41">
      <c r="A202" s="873">
        <f>'Input data'!A142</f>
        <v>2042</v>
      </c>
      <c r="B202" s="1551">
        <f>'Input data'!B142</f>
        <v>72.264673338395411</v>
      </c>
      <c r="C202" s="1550">
        <f>'Input data'!C142</f>
        <v>7212.2527913428794</v>
      </c>
      <c r="D202" s="1511">
        <f>'Input data'!E142</f>
        <v>5865888.0813916186</v>
      </c>
      <c r="E202" s="1508">
        <f>'Input data'!J142*C202</f>
        <v>86770.942404757225</v>
      </c>
      <c r="F202" s="1509">
        <f>'Input data'!L142</f>
        <v>92636.830486148843</v>
      </c>
      <c r="G202" s="1557">
        <f t="shared" si="171"/>
        <v>13687.941669523079</v>
      </c>
      <c r="H202" s="1509">
        <f t="shared" si="160"/>
        <v>41606.698803960346</v>
      </c>
      <c r="I202" s="1511">
        <f t="shared" si="136"/>
        <v>5865.8880813916185</v>
      </c>
      <c r="J202" s="1504">
        <f t="shared" si="170"/>
        <v>0.4</v>
      </c>
      <c r="K202" s="1512">
        <f t="shared" si="162"/>
        <v>1985.3230862946555</v>
      </c>
      <c r="L202" s="1512">
        <f t="shared" si="137"/>
        <v>0</v>
      </c>
      <c r="M202" s="1511">
        <f t="shared" si="163"/>
        <v>1985.3230862946555</v>
      </c>
      <c r="N202" s="1454">
        <f t="shared" si="169"/>
        <v>0.5</v>
      </c>
      <c r="O202" s="530">
        <f t="shared" si="138"/>
        <v>751.91700000000026</v>
      </c>
      <c r="P202" s="1210">
        <f t="shared" si="166"/>
        <v>2737.2400862946556</v>
      </c>
      <c r="Q202" s="1364">
        <f t="shared" si="139"/>
        <v>52557.400387188776</v>
      </c>
      <c r="R202" s="1364">
        <f t="shared" si="164"/>
        <v>38869.458717665693</v>
      </c>
      <c r="S202" s="576">
        <f t="shared" si="140"/>
        <v>0.79264170056466809</v>
      </c>
      <c r="T202" s="135" t="str">
        <f t="shared" si="141"/>
        <v>Yes</v>
      </c>
      <c r="U202" s="1526">
        <f t="shared" si="142"/>
        <v>0.79264170056466809</v>
      </c>
      <c r="V202" s="1494">
        <f t="shared" si="134"/>
        <v>53767.371768483164</v>
      </c>
      <c r="W202" s="1527">
        <f t="shared" si="135"/>
        <v>0.41958968710050459</v>
      </c>
      <c r="X202" s="527">
        <f t="shared" si="143"/>
        <v>13687.941669523081</v>
      </c>
      <c r="Y202" s="1509">
        <f t="shared" si="144"/>
        <v>9294.8110110320795</v>
      </c>
      <c r="Z202" s="1531">
        <f t="shared" si="145"/>
        <v>4673.052237396033</v>
      </c>
      <c r="AA202" s="1531">
        <f t="shared" si="146"/>
        <v>0</v>
      </c>
      <c r="AB202" s="1531">
        <f t="shared" si="147"/>
        <v>26111.566850531974</v>
      </c>
      <c r="AC202" s="1531">
        <f t="shared" si="148"/>
        <v>53767.371768483164</v>
      </c>
      <c r="AD202" s="1005">
        <f t="shared" si="149"/>
        <v>0</v>
      </c>
      <c r="AE202" s="1454">
        <f t="shared" si="150"/>
        <v>0.25457710167537972</v>
      </c>
      <c r="AF202" s="1504">
        <f t="shared" si="151"/>
        <v>0.17287084537169847</v>
      </c>
      <c r="AG202" s="1504">
        <f t="shared" si="152"/>
        <v>8.691241702342678E-2</v>
      </c>
      <c r="AH202" s="1504">
        <f t="shared" si="165"/>
        <v>0</v>
      </c>
      <c r="AI202" s="1504">
        <f t="shared" si="153"/>
        <v>0.48563963592949505</v>
      </c>
      <c r="AJ202" s="1504">
        <f t="shared" si="154"/>
        <v>1</v>
      </c>
      <c r="AK202" s="1555">
        <f t="shared" si="155"/>
        <v>3519.5328488349705</v>
      </c>
      <c r="AL202" s="1556">
        <f t="shared" si="156"/>
        <v>9602.9116676572321</v>
      </c>
      <c r="AM202" s="1556">
        <f t="shared" si="157"/>
        <v>565.49715303087601</v>
      </c>
      <c r="AN202" s="1556">
        <f t="shared" si="158"/>
        <v>13687.941669523079</v>
      </c>
      <c r="AO202" s="1543">
        <f t="shared" si="159"/>
        <v>0</v>
      </c>
    </row>
    <row r="203" spans="1:41">
      <c r="A203" s="873">
        <f>'Input data'!A143</f>
        <v>2043</v>
      </c>
      <c r="B203" s="1551">
        <f>'Input data'!B143</f>
        <v>72.713504131197794</v>
      </c>
      <c r="C203" s="1550">
        <f>'Input data'!C143</f>
        <v>7399.5467373897327</v>
      </c>
      <c r="D203" s="1511">
        <f>'Input data'!E143</f>
        <v>4323348.6333666872</v>
      </c>
      <c r="E203" s="1508">
        <f>'Input data'!J143*C203</f>
        <v>89024.284415272807</v>
      </c>
      <c r="F203" s="1509">
        <f>'Input data'!L143</f>
        <v>93347.633048639487</v>
      </c>
      <c r="G203" s="1557">
        <f t="shared" si="171"/>
        <v>13687.941669523079</v>
      </c>
      <c r="H203" s="1509">
        <f t="shared" si="160"/>
        <v>41452.082859497095</v>
      </c>
      <c r="I203" s="1511">
        <f t="shared" si="136"/>
        <v>4323.348633366687</v>
      </c>
      <c r="J203" s="1504">
        <f t="shared" si="170"/>
        <v>0.4</v>
      </c>
      <c r="K203" s="1512">
        <f t="shared" si="162"/>
        <v>1463.2471218044532</v>
      </c>
      <c r="L203" s="1512">
        <f t="shared" si="137"/>
        <v>0</v>
      </c>
      <c r="M203" s="1511">
        <f t="shared" si="163"/>
        <v>1463.2471218044532</v>
      </c>
      <c r="N203" s="1454">
        <f t="shared" si="169"/>
        <v>0.5</v>
      </c>
      <c r="O203" s="530">
        <f t="shared" si="138"/>
        <v>751.91700000000026</v>
      </c>
      <c r="P203" s="1210">
        <f t="shared" si="166"/>
        <v>2215.1641218044533</v>
      </c>
      <c r="Q203" s="1364">
        <f t="shared" si="139"/>
        <v>52924.860407215718</v>
      </c>
      <c r="R203" s="1364">
        <f t="shared" si="164"/>
        <v>39236.918737692642</v>
      </c>
      <c r="S203" s="576">
        <f t="shared" si="140"/>
        <v>0.77957987558317743</v>
      </c>
      <c r="T203" s="135" t="str">
        <f t="shared" si="141"/>
        <v>Yes</v>
      </c>
      <c r="U203" s="1526">
        <f t="shared" si="142"/>
        <v>0.77957987558317743</v>
      </c>
      <c r="V203" s="1494">
        <f t="shared" si="134"/>
        <v>54110.71431094686</v>
      </c>
      <c r="W203" s="1527">
        <f t="shared" si="135"/>
        <v>0.42033115844777702</v>
      </c>
      <c r="X203" s="527">
        <f t="shared" si="143"/>
        <v>13687.941669523076</v>
      </c>
      <c r="Y203" s="1509">
        <f t="shared" si="144"/>
        <v>8858.2386715258344</v>
      </c>
      <c r="Z203" s="1531">
        <f t="shared" si="145"/>
        <v>4774.8796293139649</v>
      </c>
      <c r="AA203" s="1531">
        <f t="shared" si="146"/>
        <v>0</v>
      </c>
      <c r="AB203" s="1531">
        <f t="shared" si="147"/>
        <v>26789.654340583988</v>
      </c>
      <c r="AC203" s="1531">
        <f t="shared" si="148"/>
        <v>54110.71431094686</v>
      </c>
      <c r="AD203" s="1005">
        <f t="shared" si="149"/>
        <v>0</v>
      </c>
      <c r="AE203" s="1454">
        <f t="shared" si="150"/>
        <v>0.25296176263476045</v>
      </c>
      <c r="AF203" s="1504">
        <f t="shared" si="151"/>
        <v>0.16370581657122515</v>
      </c>
      <c r="AG203" s="1504">
        <f t="shared" si="152"/>
        <v>8.8242775762950587E-2</v>
      </c>
      <c r="AH203" s="1504">
        <f t="shared" si="165"/>
        <v>0</v>
      </c>
      <c r="AI203" s="1504">
        <f t="shared" si="153"/>
        <v>0.49508964503106384</v>
      </c>
      <c r="AJ203" s="1504">
        <f t="shared" si="154"/>
        <v>1</v>
      </c>
      <c r="AK203" s="1555">
        <f t="shared" si="155"/>
        <v>2594.0091800200125</v>
      </c>
      <c r="AL203" s="1556">
        <f t="shared" si="156"/>
        <v>10472.899401421837</v>
      </c>
      <c r="AM203" s="1556">
        <f t="shared" si="157"/>
        <v>621.03308808122574</v>
      </c>
      <c r="AN203" s="1556">
        <f t="shared" si="158"/>
        <v>13687.941669523076</v>
      </c>
      <c r="AO203" s="1543">
        <f t="shared" si="159"/>
        <v>0</v>
      </c>
    </row>
    <row r="204" spans="1:41">
      <c r="A204" s="873">
        <f>'Input data'!A144</f>
        <v>2044</v>
      </c>
      <c r="B204" s="1551">
        <f>'Input data'!B144</f>
        <v>73.165122580420132</v>
      </c>
      <c r="C204" s="1550">
        <f>'Input data'!C144</f>
        <v>7593.410855692503</v>
      </c>
      <c r="D204" s="1511">
        <f>'Input data'!E144</f>
        <v>2780809.1853417563</v>
      </c>
      <c r="E204" s="1508">
        <f>'Input data'!J144*C204</f>
        <v>91356.672467975353</v>
      </c>
      <c r="F204" s="1509">
        <f>'Input data'!L144</f>
        <v>94137.481653317111</v>
      </c>
      <c r="G204" s="1557">
        <f t="shared" si="171"/>
        <v>13687.941669523079</v>
      </c>
      <c r="H204" s="1509">
        <f t="shared" si="160"/>
        <v>41342.824096827942</v>
      </c>
      <c r="I204" s="1511">
        <f t="shared" si="136"/>
        <v>2780.8091853417563</v>
      </c>
      <c r="J204" s="1504">
        <f t="shared" si="170"/>
        <v>0.4</v>
      </c>
      <c r="K204" s="1512">
        <f t="shared" si="162"/>
        <v>941.1711573142511</v>
      </c>
      <c r="L204" s="1512">
        <f t="shared" si="137"/>
        <v>0</v>
      </c>
      <c r="M204" s="1511">
        <f t="shared" si="163"/>
        <v>941.1711573142511</v>
      </c>
      <c r="N204" s="1454">
        <f t="shared" si="169"/>
        <v>0.5</v>
      </c>
      <c r="O204" s="530">
        <f t="shared" si="138"/>
        <v>751.91700000000026</v>
      </c>
      <c r="P204" s="1210">
        <f t="shared" si="166"/>
        <v>1693.0881573142515</v>
      </c>
      <c r="Q204" s="1364">
        <f t="shared" si="139"/>
        <v>53337.677609036771</v>
      </c>
      <c r="R204" s="1364">
        <f t="shared" si="164"/>
        <v>39649.735939513688</v>
      </c>
      <c r="S204" s="576">
        <f t="shared" si="140"/>
        <v>0.76737673514305982</v>
      </c>
      <c r="T204" s="135" t="str">
        <f t="shared" si="141"/>
        <v>Yes</v>
      </c>
      <c r="U204" s="1526">
        <f t="shared" si="142"/>
        <v>0.76737673514305982</v>
      </c>
      <c r="V204" s="1494">
        <f t="shared" si="134"/>
        <v>54487.74571380343</v>
      </c>
      <c r="W204" s="1527">
        <f t="shared" si="135"/>
        <v>0.42118968176281724</v>
      </c>
      <c r="X204" s="527">
        <f t="shared" si="143"/>
        <v>13687.941669523083</v>
      </c>
      <c r="Y204" s="1509">
        <f t="shared" si="144"/>
        <v>8427.9961921476224</v>
      </c>
      <c r="Z204" s="1531">
        <f t="shared" si="145"/>
        <v>4880.2790721144393</v>
      </c>
      <c r="AA204" s="1531">
        <f t="shared" si="146"/>
        <v>0</v>
      </c>
      <c r="AB204" s="1531">
        <f t="shared" si="147"/>
        <v>27491.528780018285</v>
      </c>
      <c r="AC204" s="1531">
        <f t="shared" si="148"/>
        <v>54487.74571380343</v>
      </c>
      <c r="AD204" s="1005">
        <f t="shared" si="149"/>
        <v>0</v>
      </c>
      <c r="AE204" s="1454">
        <f t="shared" si="150"/>
        <v>0.25121137771819224</v>
      </c>
      <c r="AF204" s="1504">
        <f t="shared" si="151"/>
        <v>0.15467691095931227</v>
      </c>
      <c r="AG204" s="1504">
        <f t="shared" si="152"/>
        <v>8.9566543966565937E-2</v>
      </c>
      <c r="AH204" s="1504">
        <f t="shared" si="165"/>
        <v>0</v>
      </c>
      <c r="AI204" s="1504">
        <f t="shared" si="153"/>
        <v>0.50454516735592958</v>
      </c>
      <c r="AJ204" s="1504">
        <f t="shared" si="154"/>
        <v>1</v>
      </c>
      <c r="AK204" s="1555">
        <f t="shared" si="155"/>
        <v>1668.4855112050541</v>
      </c>
      <c r="AL204" s="1556">
        <f t="shared" si="156"/>
        <v>11342.28659121322</v>
      </c>
      <c r="AM204" s="1556">
        <f t="shared" si="157"/>
        <v>677.16956710480747</v>
      </c>
      <c r="AN204" s="1556">
        <f t="shared" si="158"/>
        <v>13687.941669523081</v>
      </c>
      <c r="AO204" s="1543">
        <f t="shared" si="159"/>
        <v>0</v>
      </c>
    </row>
    <row r="205" spans="1:41">
      <c r="A205" s="873">
        <f>'Input data'!A145</f>
        <v>2045</v>
      </c>
      <c r="B205" s="1551">
        <f>'Input data'!B145</f>
        <v>73.619545999999971</v>
      </c>
      <c r="C205" s="1550">
        <f>'Input data'!C145</f>
        <v>7794.8943128616638</v>
      </c>
      <c r="D205" s="1511">
        <f>'Input data'!E145</f>
        <v>1238269.7373168254</v>
      </c>
      <c r="E205" s="1508">
        <f>'Input data'!J145*C205</f>
        <v>93780.729134225592</v>
      </c>
      <c r="F205" s="1509">
        <f>'Input data'!L145</f>
        <v>95018.998871542412</v>
      </c>
      <c r="G205" s="1557">
        <f t="shared" si="171"/>
        <v>13687.941669523079</v>
      </c>
      <c r="H205" s="1509">
        <f t="shared" si="160"/>
        <v>41286.165437269112</v>
      </c>
      <c r="I205" s="1511">
        <f t="shared" si="136"/>
        <v>1238.2697373168255</v>
      </c>
      <c r="J205" s="1504">
        <f t="shared" si="170"/>
        <v>0.4</v>
      </c>
      <c r="K205" s="1512">
        <f t="shared" si="162"/>
        <v>419.09519282404921</v>
      </c>
      <c r="L205" s="1512">
        <f t="shared" si="137"/>
        <v>0</v>
      </c>
      <c r="M205" s="1511">
        <f t="shared" si="163"/>
        <v>419.09519282404921</v>
      </c>
      <c r="N205" s="1454">
        <f t="shared" si="169"/>
        <v>0.5</v>
      </c>
      <c r="O205" s="530">
        <f t="shared" si="138"/>
        <v>751.91700000000026</v>
      </c>
      <c r="P205" s="1210">
        <f t="shared" si="166"/>
        <v>1171.0121928240494</v>
      </c>
      <c r="Q205" s="1364">
        <f t="shared" si="139"/>
        <v>53803.094913968147</v>
      </c>
      <c r="R205" s="1364">
        <f t="shared" si="164"/>
        <v>40115.153244445071</v>
      </c>
      <c r="S205" s="576">
        <f t="shared" si="140"/>
        <v>0.75603190045395818</v>
      </c>
      <c r="T205" s="135" t="str">
        <f t="shared" si="141"/>
        <v>Yes</v>
      </c>
      <c r="U205" s="1526">
        <f t="shared" si="142"/>
        <v>0.75603190045395818</v>
      </c>
      <c r="V205" s="1494">
        <f t="shared" si="134"/>
        <v>54903.845627097355</v>
      </c>
      <c r="W205" s="1527">
        <f t="shared" si="135"/>
        <v>0.42218033994103987</v>
      </c>
      <c r="X205" s="527">
        <f t="shared" si="143"/>
        <v>13687.941669523074</v>
      </c>
      <c r="Y205" s="1509">
        <f t="shared" si="144"/>
        <v>8005.094364949251</v>
      </c>
      <c r="Z205" s="1531">
        <f t="shared" si="145"/>
        <v>4989.8209734474995</v>
      </c>
      <c r="AA205" s="1531">
        <f t="shared" si="146"/>
        <v>0</v>
      </c>
      <c r="AB205" s="1531">
        <f t="shared" si="147"/>
        <v>28220.988619177533</v>
      </c>
      <c r="AC205" s="1531">
        <f t="shared" si="148"/>
        <v>54903.845627097355</v>
      </c>
      <c r="AD205" s="1005">
        <f t="shared" si="149"/>
        <v>0</v>
      </c>
      <c r="AE205" s="1454">
        <f t="shared" si="150"/>
        <v>0.24930752141645066</v>
      </c>
      <c r="AF205" s="1504">
        <f t="shared" si="151"/>
        <v>0.14580207039265025</v>
      </c>
      <c r="AG205" s="1504">
        <f t="shared" si="152"/>
        <v>9.088290476659823E-2</v>
      </c>
      <c r="AH205" s="1504">
        <f t="shared" si="165"/>
        <v>0</v>
      </c>
      <c r="AI205" s="1504">
        <f t="shared" si="153"/>
        <v>0.5140075034243009</v>
      </c>
      <c r="AJ205" s="1504">
        <f t="shared" si="154"/>
        <v>1</v>
      </c>
      <c r="AK205" s="1555">
        <f t="shared" si="155"/>
        <v>742.96184239009517</v>
      </c>
      <c r="AL205" s="1556">
        <f t="shared" si="156"/>
        <v>12211.073501948513</v>
      </c>
      <c r="AM205" s="1556">
        <f t="shared" si="157"/>
        <v>733.90632518446398</v>
      </c>
      <c r="AN205" s="1556">
        <f t="shared" si="158"/>
        <v>13687.941669523072</v>
      </c>
      <c r="AO205" s="1543">
        <f t="shared" si="159"/>
        <v>0</v>
      </c>
    </row>
    <row r="206" spans="1:41">
      <c r="A206" s="873">
        <f>'Input data'!A146</f>
        <v>2046</v>
      </c>
      <c r="B206" s="1551">
        <f>'Input data'!B146</f>
        <v>73.995362001779526</v>
      </c>
      <c r="C206" s="1550">
        <f>'Input data'!C146</f>
        <v>8018.9246673642956</v>
      </c>
      <c r="D206" s="1511">
        <f>'Input data'!E146</f>
        <v>1037510.1997812246</v>
      </c>
      <c r="E206" s="1508">
        <f>'Input data'!J146*C206</f>
        <v>96476.048551037893</v>
      </c>
      <c r="F206" s="1509">
        <f>'Input data'!L146</f>
        <v>97513.558750819124</v>
      </c>
      <c r="G206" s="1557">
        <f t="shared" si="171"/>
        <v>13687.941669523079</v>
      </c>
      <c r="H206" s="1509">
        <f t="shared" si="160"/>
        <v>42644.35566660919</v>
      </c>
      <c r="I206" s="1511">
        <f t="shared" si="136"/>
        <v>1037.5101997812246</v>
      </c>
      <c r="J206" s="1504">
        <f t="shared" si="170"/>
        <v>0.4</v>
      </c>
      <c r="K206" s="1512">
        <f t="shared" si="162"/>
        <v>351.14767334653646</v>
      </c>
      <c r="L206" s="1512">
        <f t="shared" si="137"/>
        <v>0</v>
      </c>
      <c r="M206" s="1511">
        <f t="shared" si="163"/>
        <v>351.14767334653646</v>
      </c>
      <c r="N206" s="1454">
        <f t="shared" si="169"/>
        <v>0.5</v>
      </c>
      <c r="O206" s="530">
        <f t="shared" si="138"/>
        <v>751.91700000000026</v>
      </c>
      <c r="P206" s="1210">
        <f t="shared" si="166"/>
        <v>1103.0646733465367</v>
      </c>
      <c r="Q206" s="1364">
        <f t="shared" si="139"/>
        <v>55229.232662785733</v>
      </c>
      <c r="R206" s="1364">
        <f t="shared" si="164"/>
        <v>41541.29099326265</v>
      </c>
      <c r="S206" s="576">
        <f t="shared" si="140"/>
        <v>0.76073578518965335</v>
      </c>
      <c r="T206" s="135" t="str">
        <f t="shared" si="141"/>
        <v>Yes</v>
      </c>
      <c r="U206" s="1526">
        <f t="shared" si="142"/>
        <v>0.76073578518965335</v>
      </c>
      <c r="V206" s="1494">
        <f t="shared" si="134"/>
        <v>55972.267757556481</v>
      </c>
      <c r="W206" s="1527">
        <f t="shared" si="135"/>
        <v>0.42600528096215839</v>
      </c>
      <c r="X206" s="527">
        <f t="shared" si="143"/>
        <v>13687.941669523087</v>
      </c>
      <c r="Y206" s="1509">
        <f t="shared" si="144"/>
        <v>8140.6267187900776</v>
      </c>
      <c r="Z206" s="1531">
        <f t="shared" si="145"/>
        <v>5111.6211020205074</v>
      </c>
      <c r="AA206" s="1531">
        <f t="shared" si="146"/>
        <v>0</v>
      </c>
      <c r="AB206" s="1531">
        <f t="shared" si="147"/>
        <v>29032.078267222809</v>
      </c>
      <c r="AC206" s="1531">
        <f t="shared" si="148"/>
        <v>55972.267757556481</v>
      </c>
      <c r="AD206" s="1005">
        <f t="shared" si="149"/>
        <v>0</v>
      </c>
      <c r="AE206" s="649">
        <f t="shared" si="150"/>
        <v>0.24454863484917777</v>
      </c>
      <c r="AF206" s="417">
        <f t="shared" si="151"/>
        <v>0.14544035903728522</v>
      </c>
      <c r="AG206" s="417">
        <f t="shared" si="152"/>
        <v>9.1324173681178358E-2</v>
      </c>
      <c r="AH206" s="417">
        <f t="shared" si="165"/>
        <v>0</v>
      </c>
      <c r="AI206" s="417">
        <f t="shared" si="153"/>
        <v>0.51868683243235869</v>
      </c>
      <c r="AJ206" s="417">
        <f t="shared" si="154"/>
        <v>1</v>
      </c>
      <c r="AK206" s="1497">
        <f t="shared" si="155"/>
        <v>622.50611986873469</v>
      </c>
      <c r="AL206" s="1498">
        <f t="shared" si="156"/>
        <v>12319.822579750786</v>
      </c>
      <c r="AM206" s="1498">
        <f t="shared" si="157"/>
        <v>745.61296990356493</v>
      </c>
      <c r="AN206" s="1498">
        <f t="shared" si="158"/>
        <v>13687.941669523085</v>
      </c>
      <c r="AO206" s="1184">
        <f t="shared" si="159"/>
        <v>0</v>
      </c>
    </row>
    <row r="207" spans="1:41">
      <c r="A207" s="873">
        <f>'Input data'!A147</f>
        <v>2047</v>
      </c>
      <c r="B207" s="1551">
        <f>'Input data'!B147</f>
        <v>74.373096484110363</v>
      </c>
      <c r="C207" s="1550">
        <f>'Input data'!C147</f>
        <v>8179.7504647675678</v>
      </c>
      <c r="D207" s="1511">
        <f>'Input data'!E147</f>
        <v>836750.66224562365</v>
      </c>
      <c r="E207" s="1508">
        <f>'Input data'!J147*C207</f>
        <v>98410.951057565282</v>
      </c>
      <c r="F207" s="1509">
        <f>'Input data'!L147</f>
        <v>99247.70171981091</v>
      </c>
      <c r="G207" s="1557">
        <f t="shared" si="171"/>
        <v>13687.941669523079</v>
      </c>
      <c r="H207" s="1509">
        <f t="shared" si="160"/>
        <v>43566.213258857504</v>
      </c>
      <c r="I207" s="1511">
        <f t="shared" si="136"/>
        <v>836.75066224562363</v>
      </c>
      <c r="J207" s="1504">
        <f t="shared" si="170"/>
        <v>0.4</v>
      </c>
      <c r="K207" s="1512">
        <f t="shared" si="162"/>
        <v>283.20015386902367</v>
      </c>
      <c r="L207" s="1512">
        <f t="shared" si="137"/>
        <v>0</v>
      </c>
      <c r="M207" s="1511">
        <f t="shared" si="163"/>
        <v>283.20015386902367</v>
      </c>
      <c r="N207" s="1454">
        <f t="shared" si="169"/>
        <v>0.5</v>
      </c>
      <c r="O207" s="530">
        <f t="shared" si="138"/>
        <v>751.91700000000026</v>
      </c>
      <c r="P207" s="1210">
        <f t="shared" si="166"/>
        <v>1035.1171538690239</v>
      </c>
      <c r="Q207" s="1364">
        <f t="shared" si="139"/>
        <v>56219.037774511555</v>
      </c>
      <c r="R207" s="1364">
        <f t="shared" si="164"/>
        <v>42531.096104988479</v>
      </c>
      <c r="S207" s="576">
        <f t="shared" si="140"/>
        <v>0.76334163254526588</v>
      </c>
      <c r="T207" s="135" t="str">
        <f t="shared" si="141"/>
        <v>Yes</v>
      </c>
      <c r="U207" s="1526">
        <f t="shared" si="142"/>
        <v>0.76334163254526588</v>
      </c>
      <c r="V207" s="1494">
        <f t="shared" si="134"/>
        <v>56716.605614822438</v>
      </c>
      <c r="W207" s="1527">
        <f t="shared" si="135"/>
        <v>0.42853482113932728</v>
      </c>
      <c r="X207" s="527">
        <f t="shared" si="143"/>
        <v>13687.941669523076</v>
      </c>
      <c r="Y207" s="1509">
        <f t="shared" si="144"/>
        <v>8215.2662999135937</v>
      </c>
      <c r="Z207" s="1531">
        <f t="shared" si="145"/>
        <v>5199.0583729432956</v>
      </c>
      <c r="AA207" s="1531">
        <f t="shared" si="146"/>
        <v>0</v>
      </c>
      <c r="AB207" s="1531">
        <f t="shared" si="147"/>
        <v>29614.339272442474</v>
      </c>
      <c r="AC207" s="1531">
        <f t="shared" si="148"/>
        <v>56716.605614822438</v>
      </c>
      <c r="AD207" s="1487">
        <f t="shared" si="149"/>
        <v>0</v>
      </c>
      <c r="AE207" s="649">
        <f t="shared" si="150"/>
        <v>0.24133922545509034</v>
      </c>
      <c r="AF207" s="417">
        <f t="shared" si="151"/>
        <v>0.14484763696377836</v>
      </c>
      <c r="AG207" s="417">
        <f t="shared" si="152"/>
        <v>9.1667304779335435E-2</v>
      </c>
      <c r="AH207" s="417">
        <f t="shared" si="165"/>
        <v>0</v>
      </c>
      <c r="AI207" s="417">
        <f t="shared" si="153"/>
        <v>0.52214583280179583</v>
      </c>
      <c r="AJ207" s="417">
        <f t="shared" si="154"/>
        <v>1</v>
      </c>
      <c r="AK207" s="1497">
        <f t="shared" si="155"/>
        <v>502.0503973473742</v>
      </c>
      <c r="AL207" s="1498">
        <f t="shared" si="156"/>
        <v>12430.038976042559</v>
      </c>
      <c r="AM207" s="1498">
        <f t="shared" si="157"/>
        <v>755.85229613314323</v>
      </c>
      <c r="AN207" s="1498">
        <f t="shared" si="158"/>
        <v>13687.941669523076</v>
      </c>
      <c r="AO207" s="1184">
        <f t="shared" si="159"/>
        <v>0</v>
      </c>
    </row>
    <row r="208" spans="1:41">
      <c r="A208" s="873">
        <f>'Input data'!A148</f>
        <v>2048</v>
      </c>
      <c r="B208" s="1551">
        <f>'Input data'!B148</f>
        <v>74.752759240528661</v>
      </c>
      <c r="C208" s="1550">
        <f>'Input data'!C148</f>
        <v>8346.3110427603078</v>
      </c>
      <c r="D208" s="1511">
        <f>'Input data'!E148</f>
        <v>635991.12471002259</v>
      </c>
      <c r="E208" s="1508">
        <f>'Input data'!J148*C208</f>
        <v>100414.84897102432</v>
      </c>
      <c r="F208" s="1509">
        <f>'Input data'!L148</f>
        <v>101050.84009573434</v>
      </c>
      <c r="G208" s="1557">
        <f t="shared" si="171"/>
        <v>13687.941669523079</v>
      </c>
      <c r="H208" s="1509">
        <f t="shared" si="160"/>
        <v>44527.660906832505</v>
      </c>
      <c r="I208" s="1511">
        <f t="shared" si="136"/>
        <v>635.99112471002263</v>
      </c>
      <c r="J208" s="1504">
        <f t="shared" si="170"/>
        <v>0.4</v>
      </c>
      <c r="K208" s="1512">
        <f t="shared" si="162"/>
        <v>215.25263439151087</v>
      </c>
      <c r="L208" s="1512">
        <f t="shared" si="137"/>
        <v>0</v>
      </c>
      <c r="M208" s="1511">
        <f t="shared" si="163"/>
        <v>215.25263439151087</v>
      </c>
      <c r="N208" s="1454">
        <f t="shared" si="169"/>
        <v>0.5</v>
      </c>
      <c r="O208" s="530">
        <f t="shared" si="138"/>
        <v>751.91700000000026</v>
      </c>
      <c r="P208" s="1210">
        <f t="shared" si="166"/>
        <v>967.16963439151118</v>
      </c>
      <c r="Q208" s="1364">
        <f t="shared" si="139"/>
        <v>57248.432941964071</v>
      </c>
      <c r="R208" s="1364">
        <f t="shared" si="164"/>
        <v>43560.491272440995</v>
      </c>
      <c r="S208" s="576">
        <f t="shared" si="140"/>
        <v>0.76600867218625601</v>
      </c>
      <c r="T208" s="135" t="str">
        <f t="shared" si="141"/>
        <v>Yes</v>
      </c>
      <c r="U208" s="1526">
        <f t="shared" si="142"/>
        <v>0.76600867218625601</v>
      </c>
      <c r="V208" s="1494">
        <f t="shared" si="134"/>
        <v>57490.34882329336</v>
      </c>
      <c r="W208" s="1527">
        <f t="shared" si="135"/>
        <v>0.43107500374239638</v>
      </c>
      <c r="X208" s="527">
        <f t="shared" si="143"/>
        <v>13687.941669523076</v>
      </c>
      <c r="Y208" s="1509">
        <f t="shared" si="144"/>
        <v>8295.4309049759559</v>
      </c>
      <c r="Z208" s="1531">
        <f t="shared" si="145"/>
        <v>5289.613511597383</v>
      </c>
      <c r="AA208" s="1531">
        <f t="shared" si="146"/>
        <v>0</v>
      </c>
      <c r="AB208" s="1531">
        <f t="shared" si="147"/>
        <v>30217.362737196945</v>
      </c>
      <c r="AC208" s="1531">
        <f t="shared" si="148"/>
        <v>57490.34882329336</v>
      </c>
      <c r="AD208" s="1487">
        <f t="shared" si="149"/>
        <v>0</v>
      </c>
      <c r="AE208" s="649">
        <f t="shared" si="150"/>
        <v>0.23809112224375883</v>
      </c>
      <c r="AF208" s="417">
        <f t="shared" si="151"/>
        <v>0.14429258257718028</v>
      </c>
      <c r="AG208" s="417">
        <f t="shared" si="152"/>
        <v>9.2008721809219401E-2</v>
      </c>
      <c r="AH208" s="417">
        <f t="shared" si="165"/>
        <v>0</v>
      </c>
      <c r="AI208" s="417">
        <f t="shared" si="153"/>
        <v>0.52560757336984154</v>
      </c>
      <c r="AJ208" s="417">
        <f t="shared" si="154"/>
        <v>1</v>
      </c>
      <c r="AK208" s="1497">
        <f t="shared" si="155"/>
        <v>381.59467482601355</v>
      </c>
      <c r="AL208" s="1498">
        <f t="shared" si="156"/>
        <v>12540.212575874844</v>
      </c>
      <c r="AM208" s="1498">
        <f t="shared" si="157"/>
        <v>766.1344188222148</v>
      </c>
      <c r="AN208" s="1498">
        <f t="shared" si="158"/>
        <v>13687.941669523074</v>
      </c>
      <c r="AO208" s="1184">
        <f t="shared" si="159"/>
        <v>0</v>
      </c>
    </row>
    <row r="209" spans="1:41">
      <c r="A209" s="873">
        <f>'Input data'!A149</f>
        <v>2049</v>
      </c>
      <c r="B209" s="1551">
        <f>'Input data'!B149</f>
        <v>75.134360114565098</v>
      </c>
      <c r="C209" s="1550">
        <f>'Input data'!C149</f>
        <v>8507.9647859669603</v>
      </c>
      <c r="D209" s="1511">
        <f>'Input data'!E149</f>
        <v>435231.58717442153</v>
      </c>
      <c r="E209" s="1508">
        <f>'Input data'!J149*C209</f>
        <v>102359.71253128871</v>
      </c>
      <c r="F209" s="1509">
        <f>'Input data'!L149</f>
        <v>102794.94411846313</v>
      </c>
      <c r="G209" s="1557">
        <f t="shared" si="171"/>
        <v>13687.941669523079</v>
      </c>
      <c r="H209" s="1509">
        <f t="shared" si="160"/>
        <v>45455.234222635205</v>
      </c>
      <c r="I209" s="1511">
        <f t="shared" si="136"/>
        <v>435.23158717442152</v>
      </c>
      <c r="J209" s="1504">
        <f t="shared" si="170"/>
        <v>0.4</v>
      </c>
      <c r="K209" s="1512">
        <f t="shared" si="162"/>
        <v>147.30511491399807</v>
      </c>
      <c r="L209" s="1512">
        <f t="shared" si="137"/>
        <v>0</v>
      </c>
      <c r="M209" s="1511">
        <f t="shared" si="163"/>
        <v>147.30511491399807</v>
      </c>
      <c r="N209" s="1454">
        <f t="shared" si="169"/>
        <v>0.5</v>
      </c>
      <c r="O209" s="530">
        <f t="shared" si="138"/>
        <v>751.91700000000026</v>
      </c>
      <c r="P209" s="1210">
        <f t="shared" si="166"/>
        <v>899.22211491399833</v>
      </c>
      <c r="Q209" s="1364">
        <f t="shared" si="139"/>
        <v>58243.953777244293</v>
      </c>
      <c r="R209" s="1364">
        <f t="shared" si="164"/>
        <v>44556.01210772121</v>
      </c>
      <c r="S209" s="576">
        <f t="shared" si="140"/>
        <v>0.76843478955348543</v>
      </c>
      <c r="T209" s="135" t="str">
        <f t="shared" si="141"/>
        <v>Yes</v>
      </c>
      <c r="U209" s="1526">
        <f t="shared" si="142"/>
        <v>0.76843478955348543</v>
      </c>
      <c r="V209" s="1494">
        <f t="shared" si="134"/>
        <v>58238.932010741941</v>
      </c>
      <c r="W209" s="1527">
        <f t="shared" si="135"/>
        <v>0.43344555989420908</v>
      </c>
      <c r="X209" s="527">
        <f t="shared" si="143"/>
        <v>13687.941669523083</v>
      </c>
      <c r="Y209" s="1509">
        <f t="shared" si="144"/>
        <v>8370.8681487671874</v>
      </c>
      <c r="Z209" s="1531">
        <f t="shared" si="145"/>
        <v>5377.5009175276673</v>
      </c>
      <c r="AA209" s="1531">
        <f t="shared" si="146"/>
        <v>0</v>
      </c>
      <c r="AB209" s="1531">
        <f t="shared" si="147"/>
        <v>30802.621274924004</v>
      </c>
      <c r="AC209" s="1531">
        <f t="shared" si="148"/>
        <v>58238.932010741941</v>
      </c>
      <c r="AD209" s="1487">
        <f t="shared" si="149"/>
        <v>0</v>
      </c>
      <c r="AE209" s="649">
        <f t="shared" si="150"/>
        <v>0.23503078090440252</v>
      </c>
      <c r="AF209" s="417">
        <f t="shared" si="151"/>
        <v>0.14373320148149718</v>
      </c>
      <c r="AG209" s="417">
        <f t="shared" si="152"/>
        <v>9.2335156773407326E-2</v>
      </c>
      <c r="AH209" s="417">
        <f t="shared" si="165"/>
        <v>0</v>
      </c>
      <c r="AI209" s="417">
        <f t="shared" si="153"/>
        <v>0.52890086084069299</v>
      </c>
      <c r="AJ209" s="417">
        <f t="shared" si="154"/>
        <v>1</v>
      </c>
      <c r="AK209" s="1497">
        <f t="shared" si="155"/>
        <v>261.13895230465289</v>
      </c>
      <c r="AL209" s="1498">
        <f t="shared" si="156"/>
        <v>12650.554671135385</v>
      </c>
      <c r="AM209" s="1498">
        <f t="shared" si="157"/>
        <v>776.24804608304385</v>
      </c>
      <c r="AN209" s="1498">
        <f t="shared" si="158"/>
        <v>13687.941669523083</v>
      </c>
      <c r="AO209" s="1184">
        <f t="shared" si="159"/>
        <v>0</v>
      </c>
    </row>
    <row r="210" spans="1:41" ht="15.75" thickBot="1">
      <c r="A210" s="172">
        <f>'Input data'!A150</f>
        <v>2050</v>
      </c>
      <c r="B210" s="664">
        <f>'Input data'!B150</f>
        <v>75.517908999999989</v>
      </c>
      <c r="C210" s="239">
        <f>'Input data'!C150</f>
        <v>8670.5902188603068</v>
      </c>
      <c r="D210" s="1520">
        <f>'Input data'!E150</f>
        <v>234472.04963882058</v>
      </c>
      <c r="E210" s="670">
        <f>'Input data'!J150*C210</f>
        <v>104316.26653450882</v>
      </c>
      <c r="F210" s="667">
        <f>'Input data'!L150</f>
        <v>104550.73858414764</v>
      </c>
      <c r="G210" s="1475">
        <f t="shared" si="171"/>
        <v>13687.941669523079</v>
      </c>
      <c r="H210" s="1518">
        <f t="shared" si="160"/>
        <v>46389.515597838807</v>
      </c>
      <c r="I210" s="1520">
        <f t="shared" si="136"/>
        <v>234.47204963882058</v>
      </c>
      <c r="J210" s="651">
        <f t="shared" si="170"/>
        <v>0.4</v>
      </c>
      <c r="K210" s="1518">
        <f t="shared" si="162"/>
        <v>79.357595436485283</v>
      </c>
      <c r="L210" s="1518">
        <f t="shared" si="137"/>
        <v>0</v>
      </c>
      <c r="M210" s="1520">
        <f t="shared" si="163"/>
        <v>79.357595436485283</v>
      </c>
      <c r="N210" s="650">
        <f t="shared" si="169"/>
        <v>0.5</v>
      </c>
      <c r="O210" s="659">
        <f t="shared" si="138"/>
        <v>751.91700000000026</v>
      </c>
      <c r="P210" s="1692">
        <f t="shared" si="166"/>
        <v>831.27459543648558</v>
      </c>
      <c r="Q210" s="1485">
        <f t="shared" si="139"/>
        <v>59246.182671925395</v>
      </c>
      <c r="R210" s="1485">
        <f t="shared" si="164"/>
        <v>45558.241002402312</v>
      </c>
      <c r="S210" s="578">
        <f t="shared" si="140"/>
        <v>0.77079529709412087</v>
      </c>
      <c r="T210" s="1105" t="str">
        <f t="shared" si="141"/>
        <v>Yes</v>
      </c>
      <c r="U210" s="1528">
        <f t="shared" si="142"/>
        <v>0.77079529709412087</v>
      </c>
      <c r="V210" s="1495">
        <f t="shared" si="134"/>
        <v>58992.497581745331</v>
      </c>
      <c r="W210" s="1529">
        <f t="shared" si="135"/>
        <v>0.43575245492632042</v>
      </c>
      <c r="X210" s="670">
        <f t="shared" si="143"/>
        <v>13687.941669523078</v>
      </c>
      <c r="Y210" s="1518">
        <f t="shared" si="144"/>
        <v>8447.2415415001888</v>
      </c>
      <c r="Z210" s="1532">
        <f t="shared" si="145"/>
        <v>5465.916608694276</v>
      </c>
      <c r="AA210" s="1532">
        <f t="shared" si="146"/>
        <v>0</v>
      </c>
      <c r="AB210" s="1532">
        <f t="shared" si="147"/>
        <v>31391.397762027791</v>
      </c>
      <c r="AC210" s="1532">
        <f t="shared" si="148"/>
        <v>58992.497581745331</v>
      </c>
      <c r="AD210" s="1488">
        <f t="shared" si="149"/>
        <v>0</v>
      </c>
      <c r="AE210" s="650">
        <f t="shared" si="150"/>
        <v>0.23202851600842683</v>
      </c>
      <c r="AF210" s="651">
        <f t="shared" si="151"/>
        <v>0.1431917936648627</v>
      </c>
      <c r="AG210" s="651">
        <f t="shared" si="152"/>
        <v>9.2654436288618025E-2</v>
      </c>
      <c r="AH210" s="651">
        <f t="shared" si="165"/>
        <v>0</v>
      </c>
      <c r="AI210" s="651">
        <f>AB210/AC210</f>
        <v>0.53212525403809252</v>
      </c>
      <c r="AJ210" s="651">
        <f t="shared" si="154"/>
        <v>1</v>
      </c>
      <c r="AK210" s="1499">
        <f t="shared" si="155"/>
        <v>140.68322978329235</v>
      </c>
      <c r="AL210" s="1500">
        <f t="shared" si="156"/>
        <v>12760.942652380865</v>
      </c>
      <c r="AM210" s="1500">
        <f t="shared" si="157"/>
        <v>786.31578735891821</v>
      </c>
      <c r="AN210" s="1500">
        <f t="shared" si="158"/>
        <v>13687.941669523076</v>
      </c>
      <c r="AO210" s="1185">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0" t="s">
        <v>545</v>
      </c>
      <c r="K4" s="1939" t="s">
        <v>546</v>
      </c>
      <c r="L4" s="1939" t="s">
        <v>547</v>
      </c>
      <c r="M4" s="1939" t="s">
        <v>548</v>
      </c>
      <c r="N4" s="1939" t="s">
        <v>498</v>
      </c>
      <c r="O4" s="1939"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0" t="s">
        <v>355</v>
      </c>
      <c r="K5" s="1939"/>
      <c r="L5" s="1939"/>
      <c r="M5" s="1939"/>
      <c r="N5" s="1939"/>
      <c r="O5" s="1939"/>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5"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5"/>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5"/>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6"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6"/>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6"/>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6"/>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6"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6"/>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6"/>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6"/>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754</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720</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727</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753</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755</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5">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7" t="s">
        <v>392</v>
      </c>
      <c r="B33" s="1937"/>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1"/>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8"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8"/>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8"/>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8"/>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8"/>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748</v>
      </c>
      <c r="D50" s="355" t="s">
        <v>401</v>
      </c>
      <c r="E50" s="355"/>
      <c r="F50" s="355"/>
      <c r="G50" s="355"/>
      <c r="H50" s="355"/>
      <c r="I50" s="355"/>
      <c r="J50" s="378">
        <v>14408453</v>
      </c>
      <c r="K50" s="378">
        <v>11209700</v>
      </c>
      <c r="L50" s="378">
        <v>1503834</v>
      </c>
      <c r="M50" s="355">
        <v>0</v>
      </c>
      <c r="N50" s="378">
        <v>0</v>
      </c>
      <c r="O50" s="378">
        <v>1694919</v>
      </c>
      <c r="P50" t="s">
        <v>749</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2" t="s">
        <v>315</v>
      </c>
      <c r="E1" s="1172" t="s">
        <v>320</v>
      </c>
      <c r="F1" s="104"/>
    </row>
    <row r="2" spans="1:66">
      <c r="A2" s="150"/>
      <c r="B2" s="99"/>
      <c r="C2" s="99"/>
      <c r="D2" s="104"/>
      <c r="E2" s="130"/>
      <c r="F2" s="104"/>
    </row>
    <row r="3" spans="1:66">
      <c r="A3" s="150" t="s">
        <v>316</v>
      </c>
      <c r="B3" s="99"/>
      <c r="C3" s="99" t="str">
        <f>Parameters!D94</f>
        <v>varies</v>
      </c>
      <c r="D3" s="99">
        <v>0.4</v>
      </c>
      <c r="E3" s="1173">
        <f>Parameters!F94</f>
        <v>0.05</v>
      </c>
      <c r="F3" s="104"/>
    </row>
    <row r="4" spans="1:66">
      <c r="A4" s="150" t="s">
        <v>260</v>
      </c>
      <c r="B4" s="99"/>
      <c r="C4" s="99">
        <f>Parameters!D95</f>
        <v>0.5</v>
      </c>
      <c r="D4" s="99">
        <f>Parameters!E95</f>
        <v>0.5</v>
      </c>
      <c r="E4" s="1173">
        <f>Parameters!F95</f>
        <v>0.5</v>
      </c>
      <c r="F4" s="104"/>
    </row>
    <row r="5" spans="1:66">
      <c r="A5" s="174" t="s">
        <v>257</v>
      </c>
      <c r="B5" s="175"/>
      <c r="C5" s="175">
        <f>Parameters!D96</f>
        <v>0.05</v>
      </c>
      <c r="D5" s="99">
        <f>Parameters!E96</f>
        <v>0.05</v>
      </c>
      <c r="E5" s="1173">
        <f>Parameters!F96</f>
        <v>0.06</v>
      </c>
      <c r="F5" s="104"/>
    </row>
    <row r="6" spans="1:66">
      <c r="A6" s="150" t="s">
        <v>258</v>
      </c>
      <c r="B6" s="107" t="s">
        <v>211</v>
      </c>
      <c r="C6" s="106">
        <f>Parameters!D97</f>
        <v>13.862943611198904</v>
      </c>
      <c r="D6" s="106">
        <f>Parameters!E97</f>
        <v>13.862943611198904</v>
      </c>
      <c r="E6" s="1174">
        <f>Parameters!F97</f>
        <v>11.552453009332423</v>
      </c>
      <c r="F6" s="104"/>
    </row>
    <row r="7" spans="1:66">
      <c r="A7" s="150" t="s">
        <v>255</v>
      </c>
      <c r="B7" s="107" t="s">
        <v>256</v>
      </c>
      <c r="C7" s="99">
        <f>Parameters!D98</f>
        <v>6</v>
      </c>
      <c r="D7" s="99">
        <f>Parameters!E98</f>
        <v>6</v>
      </c>
      <c r="E7" s="1173">
        <f>Parameters!F98</f>
        <v>6</v>
      </c>
      <c r="F7" s="104"/>
    </row>
    <row r="8" spans="1:66">
      <c r="A8" s="151" t="s">
        <v>248</v>
      </c>
      <c r="B8" s="108" t="s">
        <v>249</v>
      </c>
      <c r="C8" s="158">
        <f>Parameters!D99</f>
        <v>0.95122942450071402</v>
      </c>
      <c r="D8" s="158">
        <f>Parameters!E99</f>
        <v>0.95122942450071402</v>
      </c>
      <c r="E8" s="1175">
        <f>Parameters!F99</f>
        <v>0.94176453358424872</v>
      </c>
      <c r="F8" s="104"/>
    </row>
    <row r="9" spans="1:66">
      <c r="A9" s="151" t="s">
        <v>250</v>
      </c>
      <c r="B9" s="108" t="s">
        <v>251</v>
      </c>
      <c r="C9" s="99">
        <f>Parameters!D100</f>
        <v>13</v>
      </c>
      <c r="D9" s="99">
        <f>Parameters!E100</f>
        <v>13</v>
      </c>
      <c r="E9" s="1173">
        <f>Parameters!F100</f>
        <v>13</v>
      </c>
      <c r="F9" s="104"/>
      <c r="H9" s="561"/>
    </row>
    <row r="10" spans="1:66">
      <c r="A10" s="151" t="s">
        <v>252</v>
      </c>
      <c r="B10" s="108" t="s">
        <v>253</v>
      </c>
      <c r="C10" s="99">
        <f>Parameters!D101</f>
        <v>1</v>
      </c>
      <c r="D10" s="99">
        <f>Parameters!E101</f>
        <v>1</v>
      </c>
      <c r="E10" s="1173">
        <f>Parameters!F101</f>
        <v>1</v>
      </c>
      <c r="F10" s="104"/>
    </row>
    <row r="11" spans="1:66">
      <c r="A11" s="151" t="s">
        <v>259</v>
      </c>
      <c r="B11" s="108" t="s">
        <v>254</v>
      </c>
      <c r="C11" s="175">
        <f>Parameters!D102</f>
        <v>0.5</v>
      </c>
      <c r="D11" s="99">
        <f>Parameters!E102</f>
        <v>0.5</v>
      </c>
      <c r="E11" s="1173">
        <f>Parameters!F102</f>
        <v>0.5</v>
      </c>
      <c r="F11" s="104"/>
    </row>
    <row r="12" spans="1:66">
      <c r="A12" s="151" t="s">
        <v>722</v>
      </c>
      <c r="B12" s="108">
        <v>2002</v>
      </c>
      <c r="C12" s="108"/>
      <c r="D12" s="1444">
        <f>'Waste Summary 2017 SASOW'!L29</f>
        <v>0.13527885904981399</v>
      </c>
      <c r="E12" s="1173"/>
      <c r="F12" s="104"/>
    </row>
    <row r="13" spans="1:66">
      <c r="A13" s="151" t="s">
        <v>722</v>
      </c>
      <c r="B13" s="108">
        <v>2017</v>
      </c>
      <c r="C13" s="108"/>
      <c r="D13" s="1444">
        <f>'Waste Summary 2017 SASOW'!$L$25</f>
        <v>2.197312110627072E-2</v>
      </c>
      <c r="E13" s="1173"/>
      <c r="F13" s="104"/>
    </row>
    <row r="14" spans="1:66" ht="15.75" thickBot="1">
      <c r="A14" s="152" t="s">
        <v>721</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6"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722</v>
      </c>
      <c r="X16" s="213" t="s">
        <v>719</v>
      </c>
      <c r="Y16" s="214" t="s">
        <v>22</v>
      </c>
      <c r="Z16" s="214" t="s">
        <v>236</v>
      </c>
      <c r="AA16" s="215" t="s">
        <v>237</v>
      </c>
      <c r="AB16" s="215" t="s">
        <v>238</v>
      </c>
      <c r="AC16" s="215" t="s">
        <v>239</v>
      </c>
      <c r="AD16" s="215" t="s">
        <v>240</v>
      </c>
      <c r="AE16" s="215" t="s">
        <v>241</v>
      </c>
      <c r="AF16" s="221" t="s">
        <v>300</v>
      </c>
      <c r="AG16" s="1762" t="s">
        <v>722</v>
      </c>
      <c r="AH16" s="213"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57"/>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6">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6">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6">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6">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6">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6">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6">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6">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6">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6">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6">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6">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6">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6">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6">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6">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6">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6">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6">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6">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6">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6">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6">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6">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6">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6">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6">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6">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6">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6">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6">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6">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6">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6">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6">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6">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6">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6">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6">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6">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6">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6">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6">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6">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6">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6">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6">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6">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6">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48">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6">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6">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6">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3">
        <f t="shared" si="31"/>
        <v>352.50382234400405</v>
      </c>
      <c r="BC71" s="1604">
        <f t="shared" si="32"/>
        <v>418.2113531506368</v>
      </c>
      <c r="BD71" s="1605">
        <f t="shared" ref="BD71:BD87" si="53">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6">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3">
        <f t="shared" si="31"/>
        <v>365.04160146921089</v>
      </c>
      <c r="BC72" s="1604">
        <f t="shared" si="32"/>
        <v>429.08635544976073</v>
      </c>
      <c r="BD72" s="1605">
        <f t="shared" si="53"/>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3">
        <f t="shared" si="31"/>
        <v>377.380320424339</v>
      </c>
      <c r="BC73" s="1604">
        <f t="shared" si="32"/>
        <v>440.58813938995121</v>
      </c>
      <c r="BD73" s="1605">
        <f t="shared" si="53"/>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3">
        <f t="shared" si="31"/>
        <v>389.50320822466421</v>
      </c>
      <c r="BC74" s="1604">
        <f t="shared" si="32"/>
        <v>449.33471885423859</v>
      </c>
      <c r="BD74" s="1605">
        <f t="shared" si="53"/>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3">
        <f t="shared" si="31"/>
        <v>401.39828370560582</v>
      </c>
      <c r="BC75" s="1604">
        <f t="shared" si="32"/>
        <v>455.80540481488362</v>
      </c>
      <c r="BD75" s="1605">
        <f t="shared" si="53"/>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3">
        <f t="shared" si="31"/>
        <v>413.06606569957484</v>
      </c>
      <c r="BC76" s="1604">
        <f t="shared" si="32"/>
        <v>460.13310664023578</v>
      </c>
      <c r="BD76" s="1605">
        <f t="shared" si="53"/>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3">
        <f t="shared" si="31"/>
        <v>424.51763944073804</v>
      </c>
      <c r="BC77" s="1604">
        <f t="shared" si="32"/>
        <v>462.30164861039526</v>
      </c>
      <c r="BD77" s="1605">
        <f t="shared" si="53"/>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3">
        <f t="shared" si="31"/>
        <v>435.75891565885144</v>
      </c>
      <c r="BC78" s="1604">
        <f t="shared" si="32"/>
        <v>462.14243125415283</v>
      </c>
      <c r="BD78" s="1605">
        <f t="shared" si="53"/>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3">
        <f t="shared" si="31"/>
        <v>446.80677050108471</v>
      </c>
      <c r="BC79" s="1604">
        <f t="shared" si="32"/>
        <v>459.13306952818652</v>
      </c>
      <c r="BD79" s="1605">
        <f t="shared" si="53"/>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3">
        <f t="shared" si="31"/>
        <v>457.66467940490338</v>
      </c>
      <c r="BC80" s="1604">
        <f t="shared" si="32"/>
        <v>452.53335460608736</v>
      </c>
      <c r="BD80" s="1605">
        <f t="shared" si="53"/>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3">
        <f t="shared" si="31"/>
        <v>465.58393089502232</v>
      </c>
      <c r="BC81" s="1604">
        <f t="shared" si="32"/>
        <v>443.27742511609495</v>
      </c>
      <c r="BD81" s="1605">
        <f t="shared" si="53"/>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7">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3">
        <f t="shared" si="31"/>
        <v>471.51055951772577</v>
      </c>
      <c r="BC82" s="1604">
        <f t="shared" si="32"/>
        <v>431.40785228448499</v>
      </c>
      <c r="BD82" s="1605">
        <f t="shared" si="53"/>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7">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3">
        <f t="shared" si="31"/>
        <v>474.78721249604229</v>
      </c>
      <c r="BC83" s="1604">
        <f t="shared" si="32"/>
        <v>416.85758956150511</v>
      </c>
      <c r="BD83" s="1605">
        <f t="shared" si="53"/>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7">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3">
        <f t="shared" si="31"/>
        <v>475.71077220994249</v>
      </c>
      <c r="BC84" s="1604">
        <f t="shared" si="32"/>
        <v>403.18657895653814</v>
      </c>
      <c r="BD84" s="1605">
        <f t="shared" si="53"/>
        <v>4.7452171293671848</v>
      </c>
      <c r="BE84" s="1604">
        <f t="shared" ref="BE84:BE120" si="60">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61">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49">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7">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3">
        <f t="shared" ref="BB85:BB120" si="86">V85</f>
        <v>474.45668773704853</v>
      </c>
      <c r="BC85" s="1604">
        <f t="shared" ref="BC85:BC120" si="87">AF85</f>
        <v>390.3012281152715</v>
      </c>
      <c r="BD85" s="1605">
        <f t="shared" si="53"/>
        <v>4.9551433411659982</v>
      </c>
      <c r="BE85" s="1604">
        <f t="shared" si="60"/>
        <v>869.71305919348606</v>
      </c>
      <c r="BF85" s="1606">
        <v>0</v>
      </c>
      <c r="BG85" s="1607">
        <f t="shared" ref="BG85:BG120" si="88">BE85-BF85</f>
        <v>869.71305919348606</v>
      </c>
      <c r="BI85" s="1603">
        <f t="shared" ref="BI85:BI120" si="89">V85</f>
        <v>474.45668773704853</v>
      </c>
      <c r="BJ85" s="1604">
        <f t="shared" ref="BJ85:BJ120" si="90">AP85</f>
        <v>390.3012281152715</v>
      </c>
      <c r="BK85" s="1605">
        <f t="shared" ref="BK85:BK120" si="91">AZ85</f>
        <v>4.9551433411659982</v>
      </c>
      <c r="BL85" s="1604">
        <f t="shared" si="61"/>
        <v>869.71305919348606</v>
      </c>
      <c r="BM85" s="1606">
        <v>0</v>
      </c>
      <c r="BN85" s="1607">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49">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7">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3">
        <f t="shared" si="86"/>
        <v>471.19383124565587</v>
      </c>
      <c r="BC86" s="1604">
        <f t="shared" si="87"/>
        <v>378.12956244511162</v>
      </c>
      <c r="BD86" s="1605">
        <f t="shared" si="53"/>
        <v>5.1528444021078155</v>
      </c>
      <c r="BE86" s="1604">
        <f t="shared" si="60"/>
        <v>854.47623809287529</v>
      </c>
      <c r="BF86" s="1606">
        <v>0</v>
      </c>
      <c r="BG86" s="1607">
        <f t="shared" si="88"/>
        <v>854.47623809287529</v>
      </c>
      <c r="BI86" s="1603">
        <f t="shared" si="89"/>
        <v>471.19383124565587</v>
      </c>
      <c r="BJ86" s="1604">
        <f t="shared" si="90"/>
        <v>378.12956244511162</v>
      </c>
      <c r="BK86" s="1605">
        <f t="shared" si="91"/>
        <v>5.1528444021078155</v>
      </c>
      <c r="BL86" s="1604">
        <f t="shared" si="61"/>
        <v>854.47623809287529</v>
      </c>
      <c r="BM86" s="1606">
        <v>0</v>
      </c>
      <c r="BN86" s="1607">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49">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7">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08">
        <f t="shared" si="86"/>
        <v>466.08505262809604</v>
      </c>
      <c r="BC87" s="1609">
        <f t="shared" si="87"/>
        <v>366.60228049039284</v>
      </c>
      <c r="BD87" s="1610">
        <f t="shared" si="53"/>
        <v>5.3390322495547968</v>
      </c>
      <c r="BE87" s="1609">
        <f t="shared" si="60"/>
        <v>838.02636536804357</v>
      </c>
      <c r="BF87" s="1611">
        <v>0</v>
      </c>
      <c r="BG87" s="1612">
        <f t="shared" si="88"/>
        <v>838.02636536804357</v>
      </c>
      <c r="BI87" s="1608">
        <f t="shared" si="89"/>
        <v>466.08505262809604</v>
      </c>
      <c r="BJ87" s="1609">
        <f t="shared" si="90"/>
        <v>366.60228049039284</v>
      </c>
      <c r="BK87" s="1610">
        <f t="shared" si="91"/>
        <v>5.3390322495547968</v>
      </c>
      <c r="BL87" s="1609">
        <f t="shared" si="61"/>
        <v>838.02636536804357</v>
      </c>
      <c r="BM87" s="1611">
        <v>0</v>
      </c>
      <c r="BN87" s="1612">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7"/>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7"/>
      <c r="X89" s="1025">
        <f>'Recycling - Case 1'!AM139</f>
        <v>781.36800632405755</v>
      </c>
      <c r="Y89" s="1026">
        <f>Parameters!S190</f>
        <v>0.71500000000000008</v>
      </c>
      <c r="Z89" s="1027">
        <f t="shared" si="68"/>
        <v>0.4</v>
      </c>
      <c r="AA89" s="1028">
        <f t="shared" si="69"/>
        <v>111.73562490434026</v>
      </c>
      <c r="AB89" s="1028">
        <f t="shared" si="70"/>
        <v>111.73562490434026</v>
      </c>
      <c r="AC89" s="1029">
        <f t="shared" si="71"/>
        <v>0</v>
      </c>
      <c r="AD89" s="1028">
        <f t="shared" si="72"/>
        <v>10173.539443236252</v>
      </c>
      <c r="AE89" s="1028">
        <f t="shared" si="73"/>
        <v>515.87971328634205</v>
      </c>
      <c r="AF89" s="1030">
        <f t="shared" si="74"/>
        <v>343.91980885756135</v>
      </c>
      <c r="AG89" s="99"/>
      <c r="AH89" s="1025">
        <f>'Recycling - Case 1'!AM179</f>
        <v>781.36800632405755</v>
      </c>
      <c r="AI89" s="1026">
        <f>Parameters!S190</f>
        <v>0.71500000000000008</v>
      </c>
      <c r="AJ89" s="1027">
        <f t="shared" si="75"/>
        <v>0.4</v>
      </c>
      <c r="AK89" s="1028">
        <f t="shared" si="76"/>
        <v>111.73562490434026</v>
      </c>
      <c r="AL89" s="1028">
        <f t="shared" si="77"/>
        <v>111.73562490434026</v>
      </c>
      <c r="AM89" s="1029">
        <f t="shared" si="78"/>
        <v>0</v>
      </c>
      <c r="AN89" s="1028">
        <f t="shared" si="79"/>
        <v>10173.539443236252</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7"/>
      <c r="X90" s="1025">
        <f>'Recycling - Case 1'!AM140</f>
        <v>707.65912177719633</v>
      </c>
      <c r="Y90" s="1026">
        <f>Parameters!S191</f>
        <v>0.71500000000000008</v>
      </c>
      <c r="Z90" s="1027">
        <f t="shared" si="68"/>
        <v>0.4</v>
      </c>
      <c r="AA90" s="1028">
        <f t="shared" si="69"/>
        <v>101.1952544141391</v>
      </c>
      <c r="AB90" s="1028">
        <f t="shared" si="70"/>
        <v>101.1952544141391</v>
      </c>
      <c r="AC90" s="1029">
        <f t="shared" si="71"/>
        <v>0</v>
      </c>
      <c r="AD90" s="1028">
        <f t="shared" si="72"/>
        <v>9778.5653241390737</v>
      </c>
      <c r="AE90" s="1028">
        <f t="shared" si="73"/>
        <v>496.16937351131753</v>
      </c>
      <c r="AF90" s="1030">
        <f t="shared" si="74"/>
        <v>330.77958234087833</v>
      </c>
      <c r="AG90" s="104"/>
      <c r="AH90" s="1025">
        <f>'Recycling - Case 1'!AM180</f>
        <v>707.65912177719633</v>
      </c>
      <c r="AI90" s="1026">
        <f>Parameters!S191</f>
        <v>0.71500000000000008</v>
      </c>
      <c r="AJ90" s="1027">
        <f t="shared" si="75"/>
        <v>0.4</v>
      </c>
      <c r="AK90" s="1028">
        <f t="shared" si="76"/>
        <v>101.1952544141391</v>
      </c>
      <c r="AL90" s="1028">
        <f t="shared" si="77"/>
        <v>101.1952544141391</v>
      </c>
      <c r="AM90" s="1029">
        <f t="shared" si="78"/>
        <v>0</v>
      </c>
      <c r="AN90" s="1028">
        <f t="shared" si="79"/>
        <v>9778.5653241390737</v>
      </c>
      <c r="AO90" s="1028">
        <f t="shared" si="80"/>
        <v>496.16937351131753</v>
      </c>
      <c r="AP90" s="1030">
        <f t="shared" si="81"/>
        <v>330.77958234087833</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330.77958234087833</v>
      </c>
      <c r="BD90" s="1082">
        <f t="shared" si="101"/>
        <v>5.8702293320812453</v>
      </c>
      <c r="BE90" s="1056">
        <f t="shared" si="60"/>
        <v>780.95200235252298</v>
      </c>
      <c r="BF90" s="167">
        <v>0</v>
      </c>
      <c r="BG90" s="1075">
        <f t="shared" si="88"/>
        <v>780.95200235252298</v>
      </c>
      <c r="BI90" s="1055">
        <f t="shared" si="89"/>
        <v>444.30219067956335</v>
      </c>
      <c r="BJ90" s="1056">
        <f t="shared" si="90"/>
        <v>330.77958234087833</v>
      </c>
      <c r="BK90" s="1082">
        <f t="shared" si="91"/>
        <v>5.8702293320812453</v>
      </c>
      <c r="BL90" s="1056">
        <f t="shared" si="61"/>
        <v>780.95200235252298</v>
      </c>
      <c r="BM90" s="167">
        <v>0</v>
      </c>
      <c r="BN90" s="1075">
        <f t="shared" si="92"/>
        <v>780.95200235252298</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7"/>
      <c r="X91" s="1025">
        <f>'Recycling - Case 1'!AM141</f>
        <v>516.17194678227759</v>
      </c>
      <c r="Y91" s="1026">
        <f>Parameters!S192</f>
        <v>0.71500000000000008</v>
      </c>
      <c r="Z91" s="1027">
        <f t="shared" si="68"/>
        <v>0.4</v>
      </c>
      <c r="AA91" s="1028">
        <f t="shared" si="69"/>
        <v>73.812588389865709</v>
      </c>
      <c r="AB91" s="1028">
        <f t="shared" si="70"/>
        <v>73.812588389865709</v>
      </c>
      <c r="AC91" s="1029">
        <f t="shared" si="71"/>
        <v>0</v>
      </c>
      <c r="AD91" s="1028">
        <f t="shared" si="72"/>
        <v>9375.4716541133148</v>
      </c>
      <c r="AE91" s="1028">
        <f t="shared" si="73"/>
        <v>476.90625841562462</v>
      </c>
      <c r="AF91" s="1030">
        <f t="shared" si="74"/>
        <v>317.93750561041639</v>
      </c>
      <c r="AG91" s="104"/>
      <c r="AH91" s="1025">
        <f>'Recycling - Case 1'!AM181</f>
        <v>516.17194678227759</v>
      </c>
      <c r="AI91" s="1026">
        <f>Parameters!S192</f>
        <v>0.71500000000000008</v>
      </c>
      <c r="AJ91" s="1027">
        <f t="shared" si="75"/>
        <v>0.4</v>
      </c>
      <c r="AK91" s="1028">
        <f t="shared" si="76"/>
        <v>73.812588389865709</v>
      </c>
      <c r="AL91" s="1028">
        <f t="shared" si="77"/>
        <v>73.812588389865709</v>
      </c>
      <c r="AM91" s="1029">
        <f t="shared" si="78"/>
        <v>0</v>
      </c>
      <c r="AN91" s="1028">
        <f t="shared" si="79"/>
        <v>9375.4716541133148</v>
      </c>
      <c r="AO91" s="1028">
        <f t="shared" si="80"/>
        <v>476.90625841562462</v>
      </c>
      <c r="AP91" s="1030">
        <f t="shared" si="81"/>
        <v>317.93750561041639</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317.93750561041639</v>
      </c>
      <c r="BD91" s="1082">
        <f t="shared" si="101"/>
        <v>6.0510519418420161</v>
      </c>
      <c r="BE91" s="1056">
        <f t="shared" si="60"/>
        <v>760.20992910527036</v>
      </c>
      <c r="BF91" s="167">
        <v>0</v>
      </c>
      <c r="BG91" s="1075">
        <f t="shared" si="88"/>
        <v>760.20992910527036</v>
      </c>
      <c r="BI91" s="1055">
        <f t="shared" si="89"/>
        <v>436.22137155301198</v>
      </c>
      <c r="BJ91" s="1056">
        <f t="shared" si="90"/>
        <v>317.93750561041639</v>
      </c>
      <c r="BK91" s="1082">
        <f t="shared" si="91"/>
        <v>6.0510519418420161</v>
      </c>
      <c r="BL91" s="1056">
        <f t="shared" si="61"/>
        <v>760.20992910527036</v>
      </c>
      <c r="BM91" s="167">
        <v>0</v>
      </c>
      <c r="BN91" s="1075">
        <f t="shared" si="92"/>
        <v>760.20992910527036</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7"/>
      <c r="X92" s="1025">
        <f>'Recycling - Case 1'!AM142</f>
        <v>404.14343899006838</v>
      </c>
      <c r="Y92" s="1026">
        <f>Parameters!S193</f>
        <v>0.71500000000000008</v>
      </c>
      <c r="Z92" s="1027">
        <f t="shared" si="68"/>
        <v>0.4</v>
      </c>
      <c r="AA92" s="1028">
        <f t="shared" si="69"/>
        <v>57.792511775579783</v>
      </c>
      <c r="AB92" s="1028">
        <f t="shared" si="70"/>
        <v>57.792511775579783</v>
      </c>
      <c r="AC92" s="1029">
        <f t="shared" si="71"/>
        <v>0</v>
      </c>
      <c r="AD92" s="1028">
        <f t="shared" si="72"/>
        <v>8976.0170177405453</v>
      </c>
      <c r="AE92" s="1028">
        <f t="shared" si="73"/>
        <v>457.24714814834908</v>
      </c>
      <c r="AF92" s="1030">
        <f t="shared" si="74"/>
        <v>304.83143209889937</v>
      </c>
      <c r="AG92" s="104"/>
      <c r="AH92" s="1025">
        <f>'Recycling - Case 1'!AM182</f>
        <v>404.14343899006838</v>
      </c>
      <c r="AI92" s="1026">
        <f>Parameters!S193</f>
        <v>0.71500000000000008</v>
      </c>
      <c r="AJ92" s="1027">
        <f t="shared" si="75"/>
        <v>0.4</v>
      </c>
      <c r="AK92" s="1028">
        <f t="shared" si="76"/>
        <v>57.792511775579783</v>
      </c>
      <c r="AL92" s="1028">
        <f t="shared" si="77"/>
        <v>57.792511775579783</v>
      </c>
      <c r="AM92" s="1029">
        <f t="shared" si="78"/>
        <v>0</v>
      </c>
      <c r="AN92" s="1028">
        <f t="shared" si="79"/>
        <v>8976.0170177405453</v>
      </c>
      <c r="AO92" s="1028">
        <f t="shared" si="80"/>
        <v>457.24714814834908</v>
      </c>
      <c r="AP92" s="1030">
        <f t="shared" si="81"/>
        <v>304.83143209889937</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304.83143209889937</v>
      </c>
      <c r="BD92" s="1082">
        <f t="shared" si="101"/>
        <v>6.2315559641319966</v>
      </c>
      <c r="BE92" s="1056">
        <f t="shared" si="60"/>
        <v>738.87368217332187</v>
      </c>
      <c r="BF92" s="167">
        <v>0</v>
      </c>
      <c r="BG92" s="1075">
        <f t="shared" si="88"/>
        <v>738.87368217332187</v>
      </c>
      <c r="BI92" s="1055">
        <f t="shared" si="89"/>
        <v>427.81069411029051</v>
      </c>
      <c r="BJ92" s="1056">
        <f t="shared" si="90"/>
        <v>304.83143209889937</v>
      </c>
      <c r="BK92" s="1082">
        <f t="shared" si="91"/>
        <v>6.2315559641319966</v>
      </c>
      <c r="BL92" s="1056">
        <f t="shared" si="61"/>
        <v>738.87368217332187</v>
      </c>
      <c r="BM92" s="167">
        <v>0</v>
      </c>
      <c r="BN92" s="1075">
        <f t="shared" si="92"/>
        <v>738.87368217332187</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7"/>
      <c r="X93" s="1025">
        <f>'Recycling - Case 1'!AM143</f>
        <v>281.8303874673316</v>
      </c>
      <c r="Y93" s="1026">
        <f>Parameters!S194</f>
        <v>0.71500000000000008</v>
      </c>
      <c r="Z93" s="1027">
        <f t="shared" si="68"/>
        <v>0.4</v>
      </c>
      <c r="AA93" s="1028">
        <f t="shared" si="69"/>
        <v>40.301745407828427</v>
      </c>
      <c r="AB93" s="1028">
        <f t="shared" si="70"/>
        <v>40.301745407828427</v>
      </c>
      <c r="AC93" s="1029">
        <f t="shared" si="71"/>
        <v>0</v>
      </c>
      <c r="AD93" s="1028">
        <f t="shared" si="72"/>
        <v>8578.5532475017826</v>
      </c>
      <c r="AE93" s="1028">
        <f t="shared" si="73"/>
        <v>437.7655156465911</v>
      </c>
      <c r="AF93" s="1030">
        <f t="shared" si="74"/>
        <v>291.84367709772738</v>
      </c>
      <c r="AG93" s="104"/>
      <c r="AH93" s="1025">
        <f>'Recycling - Case 1'!AM183</f>
        <v>281.8303874673316</v>
      </c>
      <c r="AI93" s="1026">
        <f>Parameters!S194</f>
        <v>0.71500000000000008</v>
      </c>
      <c r="AJ93" s="1027">
        <f t="shared" si="75"/>
        <v>0.4</v>
      </c>
      <c r="AK93" s="1028">
        <f t="shared" si="76"/>
        <v>40.301745407828427</v>
      </c>
      <c r="AL93" s="1028">
        <f t="shared" si="77"/>
        <v>40.301745407828427</v>
      </c>
      <c r="AM93" s="1029">
        <f t="shared" si="78"/>
        <v>0</v>
      </c>
      <c r="AN93" s="1028">
        <f t="shared" si="79"/>
        <v>8578.5532475017826</v>
      </c>
      <c r="AO93" s="1028">
        <f t="shared" si="80"/>
        <v>437.7655156465911</v>
      </c>
      <c r="AP93" s="1030">
        <f t="shared" si="81"/>
        <v>291.84367709772738</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291.84367709772738</v>
      </c>
      <c r="BD93" s="1082">
        <f t="shared" si="101"/>
        <v>6.4119258159552066</v>
      </c>
      <c r="BE93" s="1056">
        <f t="shared" si="60"/>
        <v>717.36954706463439</v>
      </c>
      <c r="BF93" s="167">
        <v>0</v>
      </c>
      <c r="BG93" s="1075">
        <f t="shared" si="88"/>
        <v>717.36954706463439</v>
      </c>
      <c r="BI93" s="1055">
        <f t="shared" si="89"/>
        <v>419.1139441509518</v>
      </c>
      <c r="BJ93" s="1056">
        <f t="shared" si="90"/>
        <v>291.84367709772738</v>
      </c>
      <c r="BK93" s="1082">
        <f t="shared" si="91"/>
        <v>6.4119258159552066</v>
      </c>
      <c r="BL93" s="1056">
        <f t="shared" si="61"/>
        <v>717.36954706463439</v>
      </c>
      <c r="BM93" s="167">
        <v>0</v>
      </c>
      <c r="BN93" s="1075">
        <f t="shared" si="92"/>
        <v>717.36954706463439</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7"/>
      <c r="X94" s="1025">
        <f>'Recycling - Case 1'!AM144</f>
        <v>107.29614882013229</v>
      </c>
      <c r="Y94" s="1026">
        <f>Parameters!S195</f>
        <v>0.71500000000000008</v>
      </c>
      <c r="Z94" s="1027">
        <f t="shared" si="68"/>
        <v>0.4</v>
      </c>
      <c r="AA94" s="1028">
        <f t="shared" si="69"/>
        <v>15.34334928127892</v>
      </c>
      <c r="AB94" s="1028">
        <f t="shared" si="70"/>
        <v>15.34334928127892</v>
      </c>
      <c r="AC94" s="1029">
        <f t="shared" si="71"/>
        <v>0</v>
      </c>
      <c r="AD94" s="1028">
        <f t="shared" si="72"/>
        <v>8175.5156179511314</v>
      </c>
      <c r="AE94" s="1028">
        <f t="shared" si="73"/>
        <v>418.38097883193063</v>
      </c>
      <c r="AF94" s="1030">
        <f t="shared" si="74"/>
        <v>278.9206525546204</v>
      </c>
      <c r="AG94" s="104"/>
      <c r="AH94" s="1025">
        <f>'Recycling - Case 1'!AM184</f>
        <v>107.29614882013229</v>
      </c>
      <c r="AI94" s="1026">
        <f>Parameters!S195</f>
        <v>0.71500000000000008</v>
      </c>
      <c r="AJ94" s="1027">
        <f t="shared" si="75"/>
        <v>0.4</v>
      </c>
      <c r="AK94" s="1028">
        <f t="shared" si="76"/>
        <v>15.34334928127892</v>
      </c>
      <c r="AL94" s="1028">
        <f t="shared" si="77"/>
        <v>15.34334928127892</v>
      </c>
      <c r="AM94" s="1029">
        <f t="shared" si="78"/>
        <v>0</v>
      </c>
      <c r="AN94" s="1028">
        <f t="shared" si="79"/>
        <v>8175.5156179511314</v>
      </c>
      <c r="AO94" s="1028">
        <f t="shared" si="80"/>
        <v>418.38097883193063</v>
      </c>
      <c r="AP94" s="1030">
        <f t="shared" si="81"/>
        <v>278.9206525546204</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278.9206525546204</v>
      </c>
      <c r="BD94" s="1082">
        <f t="shared" si="101"/>
        <v>6.5923376404485374</v>
      </c>
      <c r="BE94" s="1056">
        <f t="shared" si="60"/>
        <v>695.6849877374367</v>
      </c>
      <c r="BF94" s="167">
        <v>0</v>
      </c>
      <c r="BG94" s="1075">
        <f t="shared" si="88"/>
        <v>695.6849877374367</v>
      </c>
      <c r="BI94" s="1055">
        <f t="shared" si="89"/>
        <v>410.17199754236771</v>
      </c>
      <c r="BJ94" s="1056">
        <f t="shared" si="90"/>
        <v>278.9206525546204</v>
      </c>
      <c r="BK94" s="1082">
        <f t="shared" si="91"/>
        <v>6.5923376404485374</v>
      </c>
      <c r="BL94" s="1056">
        <f t="shared" si="61"/>
        <v>695.6849877374367</v>
      </c>
      <c r="BM94" s="167">
        <v>0</v>
      </c>
      <c r="BN94" s="1075">
        <f t="shared" si="92"/>
        <v>695.6849877374367</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7"/>
      <c r="X95" s="1025">
        <f>'Recycling - Case 1'!AM145</f>
        <v>0</v>
      </c>
      <c r="Y95" s="1026">
        <f>Parameters!S196</f>
        <v>0.71500000000000008</v>
      </c>
      <c r="Z95" s="1027">
        <f t="shared" si="68"/>
        <v>0.4</v>
      </c>
      <c r="AA95" s="1028">
        <f t="shared" si="69"/>
        <v>0</v>
      </c>
      <c r="AB95" s="1028">
        <f t="shared" si="70"/>
        <v>0</v>
      </c>
      <c r="AC95" s="1029">
        <f t="shared" si="71"/>
        <v>0</v>
      </c>
      <c r="AD95" s="1028">
        <f t="shared" si="72"/>
        <v>7776.7910162602539</v>
      </c>
      <c r="AE95" s="1028">
        <f t="shared" si="73"/>
        <v>398.72460169087736</v>
      </c>
      <c r="AF95" s="1030">
        <f t="shared" si="74"/>
        <v>265.81640112725159</v>
      </c>
      <c r="AG95" s="104"/>
      <c r="AH95" s="1025">
        <f>'Recycling - Case 1'!AM185</f>
        <v>0</v>
      </c>
      <c r="AI95" s="1026">
        <f>Parameters!S196</f>
        <v>0.71500000000000008</v>
      </c>
      <c r="AJ95" s="1027">
        <f t="shared" si="75"/>
        <v>0.4</v>
      </c>
      <c r="AK95" s="1028">
        <f t="shared" si="76"/>
        <v>0</v>
      </c>
      <c r="AL95" s="1028">
        <f t="shared" si="77"/>
        <v>0</v>
      </c>
      <c r="AM95" s="1029">
        <f t="shared" si="78"/>
        <v>0</v>
      </c>
      <c r="AN95" s="1028">
        <f t="shared" si="79"/>
        <v>7776.7910162602539</v>
      </c>
      <c r="AO95" s="1028">
        <f t="shared" si="80"/>
        <v>398.72460169087736</v>
      </c>
      <c r="AP95" s="1030">
        <f t="shared" si="81"/>
        <v>265.81640112725159</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265.81640112725159</v>
      </c>
      <c r="BD95" s="1082">
        <f t="shared" si="101"/>
        <v>6.7729598235066364</v>
      </c>
      <c r="BE95" s="1056">
        <f t="shared" si="60"/>
        <v>673.61232751069451</v>
      </c>
      <c r="BF95" s="167">
        <v>0</v>
      </c>
      <c r="BG95" s="1075">
        <f t="shared" si="88"/>
        <v>673.61232751069451</v>
      </c>
      <c r="BI95" s="1055">
        <f t="shared" si="89"/>
        <v>401.02296655993626</v>
      </c>
      <c r="BJ95" s="1056">
        <f t="shared" si="90"/>
        <v>265.81640112725159</v>
      </c>
      <c r="BK95" s="1082">
        <f t="shared" si="91"/>
        <v>6.7729598235066364</v>
      </c>
      <c r="BL95" s="1056">
        <f t="shared" si="61"/>
        <v>673.61232751069451</v>
      </c>
      <c r="BM95" s="167">
        <v>0</v>
      </c>
      <c r="BN95" s="1075">
        <f t="shared" si="92"/>
        <v>673.61232751069451</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7"/>
      <c r="X96" s="1025">
        <f>'Recycling - Case 1'!AM146</f>
        <v>0</v>
      </c>
      <c r="Y96" s="1026">
        <f>Parameters!S197</f>
        <v>0.71500000000000008</v>
      </c>
      <c r="Z96" s="1027">
        <f t="shared" si="68"/>
        <v>0.4</v>
      </c>
      <c r="AA96" s="1028">
        <f t="shared" si="69"/>
        <v>0</v>
      </c>
      <c r="AB96" s="1028">
        <f t="shared" si="70"/>
        <v>0</v>
      </c>
      <c r="AC96" s="1029">
        <f t="shared" si="71"/>
        <v>0</v>
      </c>
      <c r="AD96" s="1028">
        <f t="shared" si="72"/>
        <v>7397.5124428595645</v>
      </c>
      <c r="AE96" s="1028">
        <f t="shared" si="73"/>
        <v>379.27857340068971</v>
      </c>
      <c r="AF96" s="1030">
        <f t="shared" si="74"/>
        <v>252.85238226712647</v>
      </c>
      <c r="AG96" s="104"/>
      <c r="AH96" s="1025">
        <f>'Recycling - Case 1'!AM186</f>
        <v>0</v>
      </c>
      <c r="AI96" s="1026">
        <f>Parameters!S197</f>
        <v>0.71500000000000008</v>
      </c>
      <c r="AJ96" s="1027">
        <f t="shared" si="75"/>
        <v>0.4</v>
      </c>
      <c r="AK96" s="1028">
        <f t="shared" si="76"/>
        <v>0</v>
      </c>
      <c r="AL96" s="1028">
        <f t="shared" si="77"/>
        <v>0</v>
      </c>
      <c r="AM96" s="1029">
        <f t="shared" si="78"/>
        <v>0</v>
      </c>
      <c r="AN96" s="1028">
        <f t="shared" si="79"/>
        <v>7397.5124428595645</v>
      </c>
      <c r="AO96" s="1028">
        <f t="shared" si="80"/>
        <v>379.27857340068971</v>
      </c>
      <c r="AP96" s="1030">
        <f t="shared" si="81"/>
        <v>252.85238226712647</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252.85238226712647</v>
      </c>
      <c r="BD96" s="1082">
        <f t="shared" si="101"/>
        <v>6.9539534807952217</v>
      </c>
      <c r="BE96" s="1056">
        <f t="shared" si="60"/>
        <v>651.50867660488211</v>
      </c>
      <c r="BF96" s="167">
        <v>0</v>
      </c>
      <c r="BG96" s="1075">
        <f t="shared" si="88"/>
        <v>651.50867660488211</v>
      </c>
      <c r="BI96" s="1055">
        <f t="shared" si="89"/>
        <v>391.70234085696035</v>
      </c>
      <c r="BJ96" s="1056">
        <f t="shared" si="90"/>
        <v>252.85238226712647</v>
      </c>
      <c r="BK96" s="1082">
        <f t="shared" si="91"/>
        <v>6.9539534807952217</v>
      </c>
      <c r="BL96" s="1056">
        <f t="shared" si="61"/>
        <v>651.50867660488211</v>
      </c>
      <c r="BM96" s="167">
        <v>0</v>
      </c>
      <c r="BN96" s="1075">
        <f t="shared" si="92"/>
        <v>651.50867660488211</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7"/>
      <c r="X97" s="1025">
        <f>'Recycling - Case 1'!AM147</f>
        <v>0</v>
      </c>
      <c r="Y97" s="1026">
        <f>Parameters!S198</f>
        <v>0.71500000000000008</v>
      </c>
      <c r="Z97" s="1027">
        <f t="shared" si="68"/>
        <v>0.4</v>
      </c>
      <c r="AA97" s="1028">
        <f t="shared" si="69"/>
        <v>0</v>
      </c>
      <c r="AB97" s="1028">
        <f t="shared" si="70"/>
        <v>0</v>
      </c>
      <c r="AC97" s="1029">
        <f t="shared" si="71"/>
        <v>0</v>
      </c>
      <c r="AD97" s="1028">
        <f t="shared" si="72"/>
        <v>7036.7315037581748</v>
      </c>
      <c r="AE97" s="1028">
        <f t="shared" si="73"/>
        <v>360.78093910138989</v>
      </c>
      <c r="AF97" s="1030">
        <f t="shared" si="74"/>
        <v>240.52062606759327</v>
      </c>
      <c r="AG97" s="104"/>
      <c r="AH97" s="1025">
        <f>'Recycling - Case 1'!AM187</f>
        <v>0</v>
      </c>
      <c r="AI97" s="1026">
        <f>Parameters!S198</f>
        <v>0.71500000000000008</v>
      </c>
      <c r="AJ97" s="1027">
        <f t="shared" si="75"/>
        <v>0.4</v>
      </c>
      <c r="AK97" s="1028">
        <f t="shared" si="76"/>
        <v>0</v>
      </c>
      <c r="AL97" s="1028">
        <f t="shared" si="77"/>
        <v>0</v>
      </c>
      <c r="AM97" s="1029">
        <f t="shared" si="78"/>
        <v>0</v>
      </c>
      <c r="AN97" s="1028">
        <f t="shared" si="79"/>
        <v>7036.7315037581748</v>
      </c>
      <c r="AO97" s="1028">
        <f t="shared" si="80"/>
        <v>360.78093910138989</v>
      </c>
      <c r="AP97" s="1030">
        <f t="shared" si="81"/>
        <v>240.52062606759327</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240.52062606759327</v>
      </c>
      <c r="BD97" s="1082">
        <f t="shared" si="101"/>
        <v>7.1345059536976194</v>
      </c>
      <c r="BE97" s="1056">
        <f t="shared" si="60"/>
        <v>629.89513025807139</v>
      </c>
      <c r="BF97" s="167">
        <v>0</v>
      </c>
      <c r="BG97" s="1075">
        <f t="shared" si="88"/>
        <v>629.89513025807139</v>
      </c>
      <c r="BI97" s="1055">
        <f t="shared" si="89"/>
        <v>382.23999823678054</v>
      </c>
      <c r="BJ97" s="1056">
        <f t="shared" si="90"/>
        <v>240.52062606759327</v>
      </c>
      <c r="BK97" s="1082">
        <f t="shared" si="91"/>
        <v>7.1345059536976194</v>
      </c>
      <c r="BL97" s="1056">
        <f t="shared" si="61"/>
        <v>629.89513025807139</v>
      </c>
      <c r="BM97" s="167">
        <v>0</v>
      </c>
      <c r="BN97" s="1075">
        <f t="shared" si="92"/>
        <v>629.89513025807139</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7"/>
      <c r="X98" s="1025">
        <f>'Recycling - Case 1'!AM148</f>
        <v>0</v>
      </c>
      <c r="Y98" s="1026">
        <f>Parameters!S199</f>
        <v>0.71500000000000008</v>
      </c>
      <c r="Z98" s="1027">
        <f t="shared" si="68"/>
        <v>0.4</v>
      </c>
      <c r="AA98" s="1028">
        <f t="shared" si="69"/>
        <v>0</v>
      </c>
      <c r="AB98" s="1028">
        <f t="shared" si="70"/>
        <v>0</v>
      </c>
      <c r="AC98" s="1029">
        <f t="shared" si="71"/>
        <v>0</v>
      </c>
      <c r="AD98" s="1028">
        <f t="shared" si="72"/>
        <v>6693.5460586859326</v>
      </c>
      <c r="AE98" s="1028">
        <f t="shared" si="73"/>
        <v>343.18544507224226</v>
      </c>
      <c r="AF98" s="1030">
        <f t="shared" si="74"/>
        <v>228.79029671482817</v>
      </c>
      <c r="AG98" s="104"/>
      <c r="AH98" s="1025">
        <f>'Recycling - Case 1'!AM188</f>
        <v>0</v>
      </c>
      <c r="AI98" s="1026">
        <f>Parameters!S199</f>
        <v>0.71500000000000008</v>
      </c>
      <c r="AJ98" s="1027">
        <f t="shared" si="75"/>
        <v>0.4</v>
      </c>
      <c r="AK98" s="1028">
        <f t="shared" si="76"/>
        <v>0</v>
      </c>
      <c r="AL98" s="1028">
        <f t="shared" si="77"/>
        <v>0</v>
      </c>
      <c r="AM98" s="1029">
        <f t="shared" si="78"/>
        <v>0</v>
      </c>
      <c r="AN98" s="1028">
        <f t="shared" si="79"/>
        <v>6693.5460586859326</v>
      </c>
      <c r="AO98" s="1028">
        <f t="shared" si="80"/>
        <v>343.18544507224226</v>
      </c>
      <c r="AP98" s="1030">
        <f t="shared" si="81"/>
        <v>228.79029671482817</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228.79029671482817</v>
      </c>
      <c r="BD98" s="1082">
        <f t="shared" si="101"/>
        <v>7.3147860261997764</v>
      </c>
      <c r="BE98" s="1056">
        <f t="shared" si="60"/>
        <v>608.77109200824361</v>
      </c>
      <c r="BF98" s="167">
        <v>0</v>
      </c>
      <c r="BG98" s="1075">
        <f t="shared" si="88"/>
        <v>608.77109200824361</v>
      </c>
      <c r="BI98" s="1055">
        <f t="shared" si="89"/>
        <v>372.66600926721577</v>
      </c>
      <c r="BJ98" s="1056">
        <f t="shared" si="90"/>
        <v>228.79029671482817</v>
      </c>
      <c r="BK98" s="1082">
        <f t="shared" si="91"/>
        <v>7.3147860261997764</v>
      </c>
      <c r="BL98" s="1056">
        <f t="shared" si="61"/>
        <v>608.77109200824361</v>
      </c>
      <c r="BM98" s="167">
        <v>0</v>
      </c>
      <c r="BN98" s="1075">
        <f t="shared" si="92"/>
        <v>608.77109200824361</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7"/>
      <c r="X99" s="1025">
        <f>'Recycling - Case 1'!AM149</f>
        <v>0</v>
      </c>
      <c r="Y99" s="1026">
        <f>Parameters!S200</f>
        <v>0.71500000000000008</v>
      </c>
      <c r="Z99" s="1027">
        <f t="shared" si="68"/>
        <v>0.4</v>
      </c>
      <c r="AA99" s="1028">
        <f t="shared" si="69"/>
        <v>0</v>
      </c>
      <c r="AB99" s="1028">
        <f t="shared" si="70"/>
        <v>0</v>
      </c>
      <c r="AC99" s="1029">
        <f t="shared" si="71"/>
        <v>0</v>
      </c>
      <c r="AD99" s="1028">
        <f t="shared" si="72"/>
        <v>6367.097965272842</v>
      </c>
      <c r="AE99" s="1028">
        <f t="shared" si="73"/>
        <v>326.44809341309042</v>
      </c>
      <c r="AF99" s="1030">
        <f t="shared" si="74"/>
        <v>217.63206227539362</v>
      </c>
      <c r="AG99" s="104"/>
      <c r="AH99" s="1025">
        <f>'Recycling - Case 1'!AM189</f>
        <v>0</v>
      </c>
      <c r="AI99" s="1026">
        <f>Parameters!S200</f>
        <v>0.71500000000000008</v>
      </c>
      <c r="AJ99" s="1027">
        <f t="shared" si="75"/>
        <v>0.4</v>
      </c>
      <c r="AK99" s="1028">
        <f t="shared" si="76"/>
        <v>0</v>
      </c>
      <c r="AL99" s="1028">
        <f t="shared" si="77"/>
        <v>0</v>
      </c>
      <c r="AM99" s="1029">
        <f t="shared" si="78"/>
        <v>0</v>
      </c>
      <c r="AN99" s="1028">
        <f t="shared" si="79"/>
        <v>6367.097965272842</v>
      </c>
      <c r="AO99" s="1028">
        <f t="shared" si="80"/>
        <v>326.44809341309042</v>
      </c>
      <c r="AP99" s="1030">
        <f t="shared" si="81"/>
        <v>217.63206227539362</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217.63206227539362</v>
      </c>
      <c r="BD99" s="1082">
        <f t="shared" si="101"/>
        <v>7.4949544918276478</v>
      </c>
      <c r="BE99" s="1056">
        <f t="shared" si="60"/>
        <v>588.34197920861959</v>
      </c>
      <c r="BF99" s="167">
        <v>0</v>
      </c>
      <c r="BG99" s="1075">
        <f t="shared" si="88"/>
        <v>588.34197920861959</v>
      </c>
      <c r="BI99" s="1055">
        <f t="shared" si="89"/>
        <v>363.21496244139826</v>
      </c>
      <c r="BJ99" s="1056">
        <f t="shared" si="90"/>
        <v>217.63206227539362</v>
      </c>
      <c r="BK99" s="1082">
        <f t="shared" si="91"/>
        <v>7.4949544918276478</v>
      </c>
      <c r="BL99" s="1056">
        <f t="shared" si="61"/>
        <v>588.34197920861959</v>
      </c>
      <c r="BM99" s="167">
        <v>0</v>
      </c>
      <c r="BN99" s="1075">
        <f t="shared" si="92"/>
        <v>588.34197920861959</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7"/>
      <c r="X100" s="1025">
        <f>'Recycling - Case 1'!AM150</f>
        <v>0</v>
      </c>
      <c r="Y100" s="1026">
        <f>Parameters!S201</f>
        <v>0.71500000000000008</v>
      </c>
      <c r="Z100" s="1027">
        <f t="shared" si="68"/>
        <v>0.4</v>
      </c>
      <c r="AA100" s="1028">
        <f t="shared" si="69"/>
        <v>0</v>
      </c>
      <c r="AB100" s="1028">
        <f t="shared" si="70"/>
        <v>0</v>
      </c>
      <c r="AC100" s="1029">
        <f t="shared" si="71"/>
        <v>0</v>
      </c>
      <c r="AD100" s="1028">
        <f t="shared" si="72"/>
        <v>6056.5709332461529</v>
      </c>
      <c r="AE100" s="1028">
        <f t="shared" si="73"/>
        <v>310.52703202668931</v>
      </c>
      <c r="AF100" s="1030">
        <f t="shared" si="74"/>
        <v>207.01802135112621</v>
      </c>
      <c r="AG100" s="104"/>
      <c r="AH100" s="1025">
        <f>'Recycling - Case 1'!AM190</f>
        <v>0</v>
      </c>
      <c r="AI100" s="1026">
        <f>Parameters!S201</f>
        <v>0.71500000000000008</v>
      </c>
      <c r="AJ100" s="1027">
        <f t="shared" si="75"/>
        <v>0.4</v>
      </c>
      <c r="AK100" s="1028">
        <f t="shared" si="76"/>
        <v>0</v>
      </c>
      <c r="AL100" s="1028">
        <f t="shared" si="77"/>
        <v>0</v>
      </c>
      <c r="AM100" s="1029">
        <f t="shared" si="78"/>
        <v>0</v>
      </c>
      <c r="AN100" s="1028">
        <f t="shared" si="79"/>
        <v>6056.5709332461529</v>
      </c>
      <c r="AO100" s="1028">
        <f t="shared" si="80"/>
        <v>310.52703202668931</v>
      </c>
      <c r="AP100" s="1030">
        <f t="shared" si="81"/>
        <v>207.01802135112621</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207.01802135112621</v>
      </c>
      <c r="BD100" s="1082">
        <f t="shared" si="101"/>
        <v>7.6751646413126862</v>
      </c>
      <c r="BE100" s="1056">
        <f t="shared" si="60"/>
        <v>568.58548368183165</v>
      </c>
      <c r="BF100" s="167">
        <v>0</v>
      </c>
      <c r="BG100" s="1075">
        <f t="shared" si="88"/>
        <v>568.58548368183165</v>
      </c>
      <c r="BI100" s="1055">
        <f t="shared" si="89"/>
        <v>353.89229768939282</v>
      </c>
      <c r="BJ100" s="1056">
        <f t="shared" si="90"/>
        <v>207.01802135112621</v>
      </c>
      <c r="BK100" s="1082">
        <f t="shared" si="91"/>
        <v>7.6751646413126862</v>
      </c>
      <c r="BL100" s="1056">
        <f t="shared" si="61"/>
        <v>568.58548368183165</v>
      </c>
      <c r="BM100" s="167">
        <v>0</v>
      </c>
      <c r="BN100" s="1075">
        <f t="shared" si="92"/>
        <v>568.58548368183165</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7"/>
      <c r="X101" s="1025">
        <f>'Recycling - Case 1'!AM151</f>
        <v>0</v>
      </c>
      <c r="Y101" s="1026">
        <f>Parameters!S202</f>
        <v>0.71500000000000008</v>
      </c>
      <c r="Z101" s="1027">
        <f t="shared" si="68"/>
        <v>0.4</v>
      </c>
      <c r="AA101" s="1028">
        <f t="shared" si="69"/>
        <v>0</v>
      </c>
      <c r="AB101" s="1028">
        <f t="shared" si="70"/>
        <v>0</v>
      </c>
      <c r="AC101" s="1029">
        <f t="shared" si="71"/>
        <v>0</v>
      </c>
      <c r="AD101" s="1028">
        <f t="shared" si="72"/>
        <v>5761.1884832794904</v>
      </c>
      <c r="AE101" s="1028">
        <f t="shared" si="73"/>
        <v>295.38244996666248</v>
      </c>
      <c r="AF101" s="1030">
        <f t="shared" si="74"/>
        <v>196.92163331110831</v>
      </c>
      <c r="AG101" s="104"/>
      <c r="AH101" s="1025">
        <f>'Recycling - Case 1'!AM191</f>
        <v>0</v>
      </c>
      <c r="AI101" s="1026">
        <f>Parameters!S202</f>
        <v>0.71500000000000008</v>
      </c>
      <c r="AJ101" s="1027">
        <f t="shared" si="75"/>
        <v>0.4</v>
      </c>
      <c r="AK101" s="1028">
        <f t="shared" si="76"/>
        <v>0</v>
      </c>
      <c r="AL101" s="1028">
        <f t="shared" si="77"/>
        <v>0</v>
      </c>
      <c r="AM101" s="1029">
        <f t="shared" si="78"/>
        <v>0</v>
      </c>
      <c r="AN101" s="1028">
        <f t="shared" si="79"/>
        <v>5761.1884832794904</v>
      </c>
      <c r="AO101" s="1028">
        <f t="shared" si="80"/>
        <v>295.38244996666248</v>
      </c>
      <c r="AP101" s="1030">
        <f t="shared" si="81"/>
        <v>196.92163331110831</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196.92163331110831</v>
      </c>
      <c r="BD101" s="1082">
        <f t="shared" si="101"/>
        <v>7.8555627221195046</v>
      </c>
      <c r="BE101" s="1056">
        <f t="shared" si="60"/>
        <v>549.48011264296349</v>
      </c>
      <c r="BF101" s="167">
        <v>0</v>
      </c>
      <c r="BG101" s="1075">
        <f t="shared" si="88"/>
        <v>549.48011264296349</v>
      </c>
      <c r="BI101" s="1055">
        <f t="shared" si="89"/>
        <v>344.70291660973567</v>
      </c>
      <c r="BJ101" s="1056">
        <f t="shared" si="90"/>
        <v>196.92163331110831</v>
      </c>
      <c r="BK101" s="1082">
        <f t="shared" si="91"/>
        <v>7.8555627221195046</v>
      </c>
      <c r="BL101" s="1056">
        <f t="shared" si="61"/>
        <v>549.48011264296349</v>
      </c>
      <c r="BM101" s="167">
        <v>0</v>
      </c>
      <c r="BN101" s="1075">
        <f t="shared" si="92"/>
        <v>549.48011264296349</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7"/>
      <c r="X102" s="1025">
        <f>'Recycling - Case 1'!AM152</f>
        <v>0</v>
      </c>
      <c r="Y102" s="1026">
        <f>Parameters!S203</f>
        <v>0.71500000000000008</v>
      </c>
      <c r="Z102" s="1027">
        <f t="shared" si="68"/>
        <v>0.4</v>
      </c>
      <c r="AA102" s="1028">
        <f t="shared" si="69"/>
        <v>0</v>
      </c>
      <c r="AB102" s="1028">
        <f t="shared" si="70"/>
        <v>0</v>
      </c>
      <c r="AC102" s="1029">
        <f t="shared" si="71"/>
        <v>0</v>
      </c>
      <c r="AD102" s="1028">
        <f t="shared" si="72"/>
        <v>5480.2120053900908</v>
      </c>
      <c r="AE102" s="1028">
        <f t="shared" si="73"/>
        <v>280.97647788939929</v>
      </c>
      <c r="AF102" s="1030">
        <f t="shared" si="74"/>
        <v>187.31765192626619</v>
      </c>
      <c r="AG102" s="104"/>
      <c r="AH102" s="1025">
        <f>'Recycling - Case 1'!AM192</f>
        <v>0</v>
      </c>
      <c r="AI102" s="1026">
        <f>Parameters!S203</f>
        <v>0.71500000000000008</v>
      </c>
      <c r="AJ102" s="1027">
        <f t="shared" si="75"/>
        <v>0.4</v>
      </c>
      <c r="AK102" s="1028">
        <f t="shared" si="76"/>
        <v>0</v>
      </c>
      <c r="AL102" s="1028">
        <f t="shared" si="77"/>
        <v>0</v>
      </c>
      <c r="AM102" s="1029">
        <f t="shared" si="78"/>
        <v>0</v>
      </c>
      <c r="AN102" s="1028">
        <f t="shared" si="79"/>
        <v>5480.2120053900908</v>
      </c>
      <c r="AO102" s="1028">
        <f t="shared" si="80"/>
        <v>280.97647788939929</v>
      </c>
      <c r="AP102" s="1030">
        <f t="shared" si="81"/>
        <v>187.31765192626619</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187.31765192626619</v>
      </c>
      <c r="BD102" s="1082">
        <f t="shared" si="101"/>
        <v>8.0354591084610139</v>
      </c>
      <c r="BE102" s="1056">
        <f t="shared" si="60"/>
        <v>531.00720268621626</v>
      </c>
      <c r="BF102" s="167">
        <v>0</v>
      </c>
      <c r="BG102" s="1075">
        <f t="shared" si="88"/>
        <v>531.00720268621626</v>
      </c>
      <c r="BI102" s="1055">
        <f t="shared" si="89"/>
        <v>335.65409165148895</v>
      </c>
      <c r="BJ102" s="1056">
        <f t="shared" si="90"/>
        <v>187.31765192626619</v>
      </c>
      <c r="BK102" s="1082">
        <f t="shared" si="91"/>
        <v>8.0354591084610139</v>
      </c>
      <c r="BL102" s="1056">
        <f t="shared" si="61"/>
        <v>531.00720268621626</v>
      </c>
      <c r="BM102" s="167">
        <v>0</v>
      </c>
      <c r="BN102" s="1075">
        <f t="shared" si="92"/>
        <v>531.00720268621626</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7"/>
      <c r="X103" s="1025">
        <f>'Recycling - Case 1'!AM153</f>
        <v>0</v>
      </c>
      <c r="Y103" s="1026">
        <f>Parameters!S204</f>
        <v>0.71500000000000008</v>
      </c>
      <c r="Z103" s="1027">
        <f t="shared" si="68"/>
        <v>0.4</v>
      </c>
      <c r="AA103" s="1028">
        <f t="shared" si="69"/>
        <v>0</v>
      </c>
      <c r="AB103" s="1028">
        <f t="shared" si="70"/>
        <v>0</v>
      </c>
      <c r="AC103" s="1029">
        <f t="shared" si="71"/>
        <v>0</v>
      </c>
      <c r="AD103" s="1028">
        <f t="shared" si="72"/>
        <v>5212.9389120291198</v>
      </c>
      <c r="AE103" s="1028">
        <f t="shared" si="73"/>
        <v>267.27309336097085</v>
      </c>
      <c r="AF103" s="1030">
        <f t="shared" si="74"/>
        <v>178.18206224064724</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5212.9389120291198</v>
      </c>
      <c r="AO103" s="1028">
        <f t="shared" si="80"/>
        <v>267.27309336097085</v>
      </c>
      <c r="AP103" s="1030">
        <f t="shared" si="81"/>
        <v>178.18206224064724</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178.18206224064724</v>
      </c>
      <c r="BD103" s="1082">
        <f t="shared" si="101"/>
        <v>8.2150080749064323</v>
      </c>
      <c r="BE103" s="1056">
        <f t="shared" si="60"/>
        <v>513.12866112021754</v>
      </c>
      <c r="BF103" s="167">
        <v>0</v>
      </c>
      <c r="BG103" s="1075">
        <f t="shared" si="88"/>
        <v>513.12866112021754</v>
      </c>
      <c r="BI103" s="1055">
        <f t="shared" si="89"/>
        <v>326.73159080466388</v>
      </c>
      <c r="BJ103" s="1056">
        <f t="shared" si="90"/>
        <v>178.18206224064724</v>
      </c>
      <c r="BK103" s="1082">
        <f t="shared" si="91"/>
        <v>8.2150080749064323</v>
      </c>
      <c r="BL103" s="1056">
        <f t="shared" si="61"/>
        <v>513.12866112021754</v>
      </c>
      <c r="BM103" s="167">
        <v>0</v>
      </c>
      <c r="BN103" s="1075">
        <f t="shared" si="92"/>
        <v>513.12866112021754</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7"/>
      <c r="X104" s="1025">
        <f>'Recycling - Case 1'!AM154</f>
        <v>0</v>
      </c>
      <c r="Y104" s="1026">
        <f>Parameters!S205</f>
        <v>0.71500000000000008</v>
      </c>
      <c r="Z104" s="1027">
        <f t="shared" si="68"/>
        <v>0.4</v>
      </c>
      <c r="AA104" s="1028">
        <f t="shared" si="69"/>
        <v>0</v>
      </c>
      <c r="AB104" s="1028">
        <f t="shared" si="70"/>
        <v>0</v>
      </c>
      <c r="AC104" s="1029">
        <f t="shared" si="71"/>
        <v>0</v>
      </c>
      <c r="AD104" s="1028">
        <f t="shared" si="72"/>
        <v>4958.7008812468375</v>
      </c>
      <c r="AE104" s="1028">
        <f t="shared" si="73"/>
        <v>254.23803078228192</v>
      </c>
      <c r="AF104" s="1030">
        <f t="shared" si="74"/>
        <v>169.49202052152128</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4958.7008812468375</v>
      </c>
      <c r="AO104" s="1028">
        <f t="shared" si="80"/>
        <v>254.23803078228192</v>
      </c>
      <c r="AP104" s="1030">
        <f t="shared" si="81"/>
        <v>169.49202052152128</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169.49202052152128</v>
      </c>
      <c r="BD104" s="1082">
        <f t="shared" si="101"/>
        <v>8.3943563177141449</v>
      </c>
      <c r="BE104" s="1056">
        <f t="shared" si="60"/>
        <v>495.80824803164035</v>
      </c>
      <c r="BF104" s="167">
        <v>0</v>
      </c>
      <c r="BG104" s="1075">
        <f t="shared" si="88"/>
        <v>495.80824803164035</v>
      </c>
      <c r="BI104" s="1055">
        <f t="shared" si="89"/>
        <v>317.92187119240492</v>
      </c>
      <c r="BJ104" s="1056">
        <f t="shared" si="90"/>
        <v>169.49202052152128</v>
      </c>
      <c r="BK104" s="1082">
        <f t="shared" si="91"/>
        <v>8.3943563177141449</v>
      </c>
      <c r="BL104" s="1056">
        <f t="shared" si="61"/>
        <v>495.80824803164035</v>
      </c>
      <c r="BM104" s="167">
        <v>0</v>
      </c>
      <c r="BN104" s="1075">
        <f t="shared" si="92"/>
        <v>495.80824803164035</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7"/>
      <c r="X105" s="1025">
        <f>'Recycling - Case 1'!AM155</f>
        <v>162.36687767878553</v>
      </c>
      <c r="Y105" s="1026">
        <f>Parameters!S206</f>
        <v>0.71500000000000008</v>
      </c>
      <c r="Z105" s="1027">
        <f t="shared" si="68"/>
        <v>0.4</v>
      </c>
      <c r="AA105" s="1028">
        <f t="shared" si="69"/>
        <v>23.218463508066336</v>
      </c>
      <c r="AB105" s="1028">
        <f t="shared" si="70"/>
        <v>23.218463508066336</v>
      </c>
      <c r="AC105" s="1029">
        <f t="shared" si="71"/>
        <v>0</v>
      </c>
      <c r="AD105" s="1028">
        <f t="shared" si="72"/>
        <v>4740.0806490476789</v>
      </c>
      <c r="AE105" s="1028">
        <f t="shared" si="73"/>
        <v>241.83869570722484</v>
      </c>
      <c r="AF105" s="1030">
        <f t="shared" si="74"/>
        <v>161.22579713814989</v>
      </c>
      <c r="AG105" s="104"/>
      <c r="AH105" s="1025">
        <f>'Recycling - Case 1'!AM195</f>
        <v>162.36687767878553</v>
      </c>
      <c r="AI105" s="1026">
        <f>Parameters!S206</f>
        <v>0.71500000000000008</v>
      </c>
      <c r="AJ105" s="1027">
        <f t="shared" si="75"/>
        <v>0.4</v>
      </c>
      <c r="AK105" s="1028">
        <f t="shared" si="76"/>
        <v>23.218463508066336</v>
      </c>
      <c r="AL105" s="1028">
        <f t="shared" si="77"/>
        <v>23.218463508066336</v>
      </c>
      <c r="AM105" s="1029">
        <f t="shared" si="78"/>
        <v>0</v>
      </c>
      <c r="AN105" s="1028">
        <f t="shared" si="79"/>
        <v>4740.0806490476789</v>
      </c>
      <c r="AO105" s="1028">
        <f t="shared" si="80"/>
        <v>241.83869570722484</v>
      </c>
      <c r="AP105" s="1030">
        <f t="shared" si="81"/>
        <v>161.22579713814989</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161.22579713814989</v>
      </c>
      <c r="BD105" s="1082">
        <f t="shared" si="101"/>
        <v>8.5736434110470565</v>
      </c>
      <c r="BE105" s="1056">
        <f t="shared" si="60"/>
        <v>479.01148624321905</v>
      </c>
      <c r="BF105" s="167">
        <v>0</v>
      </c>
      <c r="BG105" s="1075">
        <f t="shared" si="88"/>
        <v>479.01148624321905</v>
      </c>
      <c r="BI105" s="1055">
        <f t="shared" si="89"/>
        <v>309.21204569402215</v>
      </c>
      <c r="BJ105" s="1056">
        <f t="shared" si="90"/>
        <v>161.22579713814989</v>
      </c>
      <c r="BK105" s="1082">
        <f t="shared" si="91"/>
        <v>8.5736434110470565</v>
      </c>
      <c r="BL105" s="1056">
        <f t="shared" si="61"/>
        <v>479.01148624321905</v>
      </c>
      <c r="BM105" s="167">
        <v>0</v>
      </c>
      <c r="BN105" s="1075">
        <f t="shared" si="92"/>
        <v>479.01148624321905</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7"/>
      <c r="X106" s="1025">
        <f>'Recycling - Case 1'!AM156</f>
        <v>511.93812020596414</v>
      </c>
      <c r="Y106" s="1026">
        <f>Parameters!S207</f>
        <v>0.71500000000000008</v>
      </c>
      <c r="Z106" s="1027">
        <f t="shared" si="68"/>
        <v>0.4</v>
      </c>
      <c r="AA106" s="1028">
        <f t="shared" si="69"/>
        <v>73.207151189452887</v>
      </c>
      <c r="AB106" s="1028">
        <f t="shared" si="70"/>
        <v>73.207151189452887</v>
      </c>
      <c r="AC106" s="1029">
        <f t="shared" si="71"/>
        <v>0</v>
      </c>
      <c r="AD106" s="1028">
        <f t="shared" si="72"/>
        <v>4582.1113390700475</v>
      </c>
      <c r="AE106" s="1028">
        <f t="shared" si="73"/>
        <v>231.17646116708434</v>
      </c>
      <c r="AF106" s="1030">
        <f t="shared" si="74"/>
        <v>154.11764077805623</v>
      </c>
      <c r="AG106" s="104"/>
      <c r="AH106" s="1025">
        <f>'Recycling - Case 1'!AM196</f>
        <v>511.93812020596414</v>
      </c>
      <c r="AI106" s="1026">
        <f>Parameters!S207</f>
        <v>0.71500000000000008</v>
      </c>
      <c r="AJ106" s="1027">
        <f t="shared" si="75"/>
        <v>0.4</v>
      </c>
      <c r="AK106" s="1028">
        <f t="shared" si="76"/>
        <v>73.207151189452887</v>
      </c>
      <c r="AL106" s="1028">
        <f t="shared" si="77"/>
        <v>73.207151189452887</v>
      </c>
      <c r="AM106" s="1029">
        <f t="shared" si="78"/>
        <v>0</v>
      </c>
      <c r="AN106" s="1028">
        <f t="shared" si="79"/>
        <v>4582.1113390700475</v>
      </c>
      <c r="AO106" s="1028">
        <f t="shared" si="80"/>
        <v>231.17646116708434</v>
      </c>
      <c r="AP106" s="1030">
        <f t="shared" si="81"/>
        <v>154.11764077805623</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154.11764077805623</v>
      </c>
      <c r="BD106" s="1082">
        <f t="shared" si="101"/>
        <v>8.753002236771783</v>
      </c>
      <c r="BE106" s="1056">
        <f t="shared" si="60"/>
        <v>463.46049420350579</v>
      </c>
      <c r="BF106" s="167">
        <v>0</v>
      </c>
      <c r="BG106" s="1075">
        <f t="shared" si="88"/>
        <v>463.46049420350579</v>
      </c>
      <c r="BI106" s="1055">
        <f t="shared" si="89"/>
        <v>300.58985118867776</v>
      </c>
      <c r="BJ106" s="1056">
        <f t="shared" si="90"/>
        <v>154.11764077805623</v>
      </c>
      <c r="BK106" s="1082">
        <f t="shared" si="91"/>
        <v>8.753002236771783</v>
      </c>
      <c r="BL106" s="1056">
        <f t="shared" si="61"/>
        <v>463.46049420350579</v>
      </c>
      <c r="BM106" s="167">
        <v>0</v>
      </c>
      <c r="BN106" s="1075">
        <f t="shared" si="92"/>
        <v>463.46049420350579</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7"/>
      <c r="X107" s="1025">
        <f>'Recycling - Case 1'!AM157</f>
        <v>666.61923699104568</v>
      </c>
      <c r="Y107" s="1026">
        <f>Parameters!S208</f>
        <v>0.71500000000000008</v>
      </c>
      <c r="Z107" s="1027">
        <f t="shared" si="68"/>
        <v>0.4</v>
      </c>
      <c r="AA107" s="1028">
        <f t="shared" si="69"/>
        <v>95.326550889719556</v>
      </c>
      <c r="AB107" s="1028">
        <f t="shared" si="70"/>
        <v>95.326550889719556</v>
      </c>
      <c r="AC107" s="1029">
        <f t="shared" si="71"/>
        <v>0</v>
      </c>
      <c r="AD107" s="1028">
        <f t="shared" si="72"/>
        <v>4453.965682951517</v>
      </c>
      <c r="AE107" s="1028">
        <f t="shared" si="73"/>
        <v>223.47220700825014</v>
      </c>
      <c r="AF107" s="1030">
        <f t="shared" si="74"/>
        <v>148.98147133883342</v>
      </c>
      <c r="AG107" s="104"/>
      <c r="AH107" s="1025">
        <f>'Recycling - Case 1'!AM197</f>
        <v>666.61923699104568</v>
      </c>
      <c r="AI107" s="1026">
        <f>Parameters!S208</f>
        <v>0.71500000000000008</v>
      </c>
      <c r="AJ107" s="1027">
        <f t="shared" si="75"/>
        <v>0.4</v>
      </c>
      <c r="AK107" s="1028">
        <f t="shared" si="76"/>
        <v>95.326550889719556</v>
      </c>
      <c r="AL107" s="1028">
        <f t="shared" si="77"/>
        <v>95.326550889719556</v>
      </c>
      <c r="AM107" s="1029">
        <f t="shared" si="78"/>
        <v>0</v>
      </c>
      <c r="AN107" s="1028">
        <f t="shared" si="79"/>
        <v>4453.965682951517</v>
      </c>
      <c r="AO107" s="1028">
        <f t="shared" si="80"/>
        <v>223.47220700825014</v>
      </c>
      <c r="AP107" s="1030">
        <f t="shared" si="81"/>
        <v>148.98147133883342</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148.98147133883342</v>
      </c>
      <c r="BD107" s="1082">
        <f t="shared" si="101"/>
        <v>8.9317302742603513</v>
      </c>
      <c r="BE107" s="1056">
        <f t="shared" si="60"/>
        <v>449.95533208512865</v>
      </c>
      <c r="BF107" s="167">
        <v>0</v>
      </c>
      <c r="BG107" s="1075">
        <f t="shared" si="88"/>
        <v>449.95533208512865</v>
      </c>
      <c r="BI107" s="1055">
        <f t="shared" si="89"/>
        <v>292.0421304720349</v>
      </c>
      <c r="BJ107" s="1056">
        <f t="shared" si="90"/>
        <v>148.98147133883342</v>
      </c>
      <c r="BK107" s="1082">
        <f t="shared" si="91"/>
        <v>8.9317302742603513</v>
      </c>
      <c r="BL107" s="1056">
        <f t="shared" si="61"/>
        <v>449.95533208512865</v>
      </c>
      <c r="BM107" s="167">
        <v>0</v>
      </c>
      <c r="BN107" s="1075">
        <f t="shared" si="92"/>
        <v>449.95533208512865</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7"/>
      <c r="X108" s="1025">
        <f>'Recycling - Case 1'!AM158</f>
        <v>748.46227369388555</v>
      </c>
      <c r="Y108" s="1026">
        <f>Parameters!S209</f>
        <v>0.71500000000000008</v>
      </c>
      <c r="Z108" s="1027">
        <f t="shared" si="68"/>
        <v>0.4</v>
      </c>
      <c r="AA108" s="1028">
        <f t="shared" si="69"/>
        <v>107.03010513822565</v>
      </c>
      <c r="AB108" s="1028">
        <f t="shared" si="70"/>
        <v>107.03010513822565</v>
      </c>
      <c r="AC108" s="1029">
        <f t="shared" si="71"/>
        <v>0</v>
      </c>
      <c r="AD108" s="1028">
        <f t="shared" si="72"/>
        <v>4343.7733184781273</v>
      </c>
      <c r="AE108" s="1028">
        <f t="shared" si="73"/>
        <v>217.22246961161582</v>
      </c>
      <c r="AF108" s="1030">
        <f t="shared" si="74"/>
        <v>144.81497974107722</v>
      </c>
      <c r="AG108" s="104"/>
      <c r="AH108" s="1025">
        <f>'Recycling - Case 1'!AM198</f>
        <v>748.46227369388555</v>
      </c>
      <c r="AI108" s="1026">
        <f>Parameters!S209</f>
        <v>0.71500000000000008</v>
      </c>
      <c r="AJ108" s="1027">
        <f t="shared" si="75"/>
        <v>0.4</v>
      </c>
      <c r="AK108" s="1028">
        <f t="shared" si="76"/>
        <v>107.03010513822565</v>
      </c>
      <c r="AL108" s="1028">
        <f t="shared" si="77"/>
        <v>107.03010513822565</v>
      </c>
      <c r="AM108" s="1029">
        <f t="shared" si="78"/>
        <v>0</v>
      </c>
      <c r="AN108" s="1028">
        <f t="shared" si="79"/>
        <v>4343.7733184781273</v>
      </c>
      <c r="AO108" s="1028">
        <f t="shared" si="80"/>
        <v>217.22246961161582</v>
      </c>
      <c r="AP108" s="1030">
        <f t="shared" si="81"/>
        <v>144.81497974107722</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144.81497974107722</v>
      </c>
      <c r="BD108" s="1082">
        <f t="shared" si="101"/>
        <v>9.1099715860462016</v>
      </c>
      <c r="BE108" s="1056">
        <f t="shared" si="60"/>
        <v>437.75367925420039</v>
      </c>
      <c r="BF108" s="167">
        <v>0</v>
      </c>
      <c r="BG108" s="1075">
        <f t="shared" si="88"/>
        <v>437.75367925420039</v>
      </c>
      <c r="BI108" s="1055">
        <f t="shared" si="89"/>
        <v>283.82872792707701</v>
      </c>
      <c r="BJ108" s="1056">
        <f t="shared" si="90"/>
        <v>144.81497974107722</v>
      </c>
      <c r="BK108" s="1082">
        <f t="shared" si="91"/>
        <v>9.1099715860462016</v>
      </c>
      <c r="BL108" s="1056">
        <f t="shared" si="61"/>
        <v>437.75367925420039</v>
      </c>
      <c r="BM108" s="167">
        <v>0</v>
      </c>
      <c r="BN108" s="1075">
        <f t="shared" si="92"/>
        <v>437.75367925420039</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7"/>
      <c r="X109" s="1025">
        <f>'Recycling - Case 1'!AM159</f>
        <v>833.24403293042724</v>
      </c>
      <c r="Y109" s="1026">
        <f>Parameters!S210</f>
        <v>0.71500000000000008</v>
      </c>
      <c r="Z109" s="1027">
        <f t="shared" si="68"/>
        <v>0.4</v>
      </c>
      <c r="AA109" s="1028">
        <f t="shared" si="69"/>
        <v>119.15389670905112</v>
      </c>
      <c r="AB109" s="1028">
        <f t="shared" si="70"/>
        <v>119.15389670905112</v>
      </c>
      <c r="AC109" s="1029">
        <f t="shared" si="71"/>
        <v>0</v>
      </c>
      <c r="AD109" s="1028">
        <f t="shared" si="72"/>
        <v>4251.0788906065563</v>
      </c>
      <c r="AE109" s="1028">
        <f t="shared" si="73"/>
        <v>211.84832458062152</v>
      </c>
      <c r="AF109" s="1030">
        <f t="shared" si="74"/>
        <v>141.23221638708102</v>
      </c>
      <c r="AG109" s="104"/>
      <c r="AH109" s="1025">
        <f>'Recycling - Case 1'!AM199</f>
        <v>833.24403293042724</v>
      </c>
      <c r="AI109" s="1026">
        <f>Parameters!S210</f>
        <v>0.71500000000000008</v>
      </c>
      <c r="AJ109" s="1027">
        <f t="shared" si="75"/>
        <v>0.4</v>
      </c>
      <c r="AK109" s="1028">
        <f t="shared" si="76"/>
        <v>119.15389670905112</v>
      </c>
      <c r="AL109" s="1028">
        <f t="shared" si="77"/>
        <v>119.15389670905112</v>
      </c>
      <c r="AM109" s="1029">
        <f t="shared" si="78"/>
        <v>0</v>
      </c>
      <c r="AN109" s="1028">
        <f t="shared" si="79"/>
        <v>4251.0788906065563</v>
      </c>
      <c r="AO109" s="1028">
        <f t="shared" si="80"/>
        <v>211.84832458062152</v>
      </c>
      <c r="AP109" s="1030">
        <f t="shared" si="81"/>
        <v>141.23221638708102</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141.23221638708102</v>
      </c>
      <c r="BD109" s="1082">
        <f t="shared" si="101"/>
        <v>9.2878628906107057</v>
      </c>
      <c r="BE109" s="1056">
        <f t="shared" si="60"/>
        <v>426.32869348162097</v>
      </c>
      <c r="BF109" s="167">
        <v>0</v>
      </c>
      <c r="BG109" s="1075">
        <f t="shared" si="88"/>
        <v>426.32869348162097</v>
      </c>
      <c r="BI109" s="1055">
        <f t="shared" si="89"/>
        <v>275.80861420392921</v>
      </c>
      <c r="BJ109" s="1056">
        <f t="shared" si="90"/>
        <v>141.23221638708102</v>
      </c>
      <c r="BK109" s="1082">
        <f t="shared" si="91"/>
        <v>9.2878628906107057</v>
      </c>
      <c r="BL109" s="1056">
        <f t="shared" si="61"/>
        <v>426.32869348162097</v>
      </c>
      <c r="BM109" s="167">
        <v>0</v>
      </c>
      <c r="BN109" s="1075">
        <f t="shared" si="92"/>
        <v>426.32869348162097</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7"/>
      <c r="X110" s="1025">
        <f>'Recycling - Case 1'!AM160</f>
        <v>920.68229961721556</v>
      </c>
      <c r="Y110" s="1026">
        <f>Parameters!S211</f>
        <v>0.71500000000000008</v>
      </c>
      <c r="Z110" s="1027">
        <f t="shared" si="68"/>
        <v>0.4</v>
      </c>
      <c r="AA110" s="1028">
        <f t="shared" si="69"/>
        <v>131.65756884526184</v>
      </c>
      <c r="AB110" s="1028">
        <f t="shared" si="70"/>
        <v>131.65756884526184</v>
      </c>
      <c r="AC110" s="1029">
        <f t="shared" si="71"/>
        <v>0</v>
      </c>
      <c r="AD110" s="1028">
        <f t="shared" si="72"/>
        <v>4175.4088954640702</v>
      </c>
      <c r="AE110" s="1028">
        <f t="shared" si="73"/>
        <v>207.32756398774796</v>
      </c>
      <c r="AF110" s="1030">
        <f t="shared" si="74"/>
        <v>138.21837599183198</v>
      </c>
      <c r="AG110" s="104"/>
      <c r="AH110" s="1025">
        <f>'Recycling - Case 1'!AM200</f>
        <v>920.68229961721556</v>
      </c>
      <c r="AI110" s="1026">
        <f>Parameters!S211</f>
        <v>0.71500000000000008</v>
      </c>
      <c r="AJ110" s="1027">
        <f t="shared" si="75"/>
        <v>0.4</v>
      </c>
      <c r="AK110" s="1028">
        <f t="shared" si="76"/>
        <v>131.65756884526184</v>
      </c>
      <c r="AL110" s="1028">
        <f t="shared" si="77"/>
        <v>131.65756884526184</v>
      </c>
      <c r="AM110" s="1029">
        <f t="shared" si="78"/>
        <v>0</v>
      </c>
      <c r="AN110" s="1028">
        <f t="shared" si="79"/>
        <v>4175.4088954640702</v>
      </c>
      <c r="AO110" s="1028">
        <f t="shared" si="80"/>
        <v>207.32756398774796</v>
      </c>
      <c r="AP110" s="1030">
        <f t="shared" si="81"/>
        <v>138.21837599183198</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138.21837599183198</v>
      </c>
      <c r="BD110" s="1082">
        <f t="shared" si="101"/>
        <v>9.4655339996232133</v>
      </c>
      <c r="BE110" s="1056">
        <f t="shared" si="60"/>
        <v>415.65172014279216</v>
      </c>
      <c r="BF110" s="167">
        <v>0</v>
      </c>
      <c r="BG110" s="1075">
        <f t="shared" si="88"/>
        <v>415.65172014279216</v>
      </c>
      <c r="BI110" s="1055">
        <f t="shared" si="89"/>
        <v>267.96781015133695</v>
      </c>
      <c r="BJ110" s="1056">
        <f t="shared" si="90"/>
        <v>138.21837599183198</v>
      </c>
      <c r="BK110" s="1082">
        <f t="shared" si="91"/>
        <v>9.4655339996232133</v>
      </c>
      <c r="BL110" s="1056">
        <f t="shared" si="61"/>
        <v>415.65172014279216</v>
      </c>
      <c r="BM110" s="167">
        <v>0</v>
      </c>
      <c r="BN110" s="1075">
        <f t="shared" si="92"/>
        <v>415.65172014279216</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7"/>
      <c r="X111" s="1025">
        <f>'Recycling - Case 1'!AM161</f>
        <v>923.72822299983204</v>
      </c>
      <c r="Y111" s="1026">
        <f>Parameters!S212</f>
        <v>0.71500000000000008</v>
      </c>
      <c r="Z111" s="1027">
        <f t="shared" si="68"/>
        <v>0.4</v>
      </c>
      <c r="AA111" s="1028">
        <f t="shared" si="69"/>
        <v>132.09313588897601</v>
      </c>
      <c r="AB111" s="1028">
        <f t="shared" si="70"/>
        <v>132.09313588897601</v>
      </c>
      <c r="AC111" s="1029">
        <f t="shared" si="71"/>
        <v>0</v>
      </c>
      <c r="AD111" s="1028">
        <f t="shared" si="72"/>
        <v>4103.864936576425</v>
      </c>
      <c r="AE111" s="1028">
        <f t="shared" si="73"/>
        <v>203.63709477662073</v>
      </c>
      <c r="AF111" s="1030">
        <f t="shared" si="74"/>
        <v>135.75806318441383</v>
      </c>
      <c r="AG111" s="104"/>
      <c r="AH111" s="1025">
        <f>'Recycling - Case 1'!AM201</f>
        <v>923.72822299983204</v>
      </c>
      <c r="AI111" s="1026">
        <f>Parameters!S212</f>
        <v>0.71500000000000008</v>
      </c>
      <c r="AJ111" s="1027">
        <f t="shared" si="75"/>
        <v>0.4</v>
      </c>
      <c r="AK111" s="1028">
        <f t="shared" si="76"/>
        <v>132.09313588897601</v>
      </c>
      <c r="AL111" s="1028">
        <f t="shared" si="77"/>
        <v>132.09313588897601</v>
      </c>
      <c r="AM111" s="1029">
        <f t="shared" si="78"/>
        <v>0</v>
      </c>
      <c r="AN111" s="1028">
        <f t="shared" si="79"/>
        <v>4103.864936576425</v>
      </c>
      <c r="AO111" s="1028">
        <f t="shared" si="80"/>
        <v>203.63709477662073</v>
      </c>
      <c r="AP111" s="1030">
        <f t="shared" si="81"/>
        <v>135.75806318441383</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135.75806318441383</v>
      </c>
      <c r="BD111" s="1082">
        <f t="shared" si="101"/>
        <v>9.6431082298021416</v>
      </c>
      <c r="BE111" s="1056">
        <f t="shared" si="60"/>
        <v>405.69418544885218</v>
      </c>
      <c r="BF111" s="167">
        <v>0</v>
      </c>
      <c r="BG111" s="1075">
        <f t="shared" si="88"/>
        <v>405.69418544885218</v>
      </c>
      <c r="BI111" s="1055">
        <f t="shared" si="89"/>
        <v>260.2930140346362</v>
      </c>
      <c r="BJ111" s="1056">
        <f t="shared" si="90"/>
        <v>135.75806318441383</v>
      </c>
      <c r="BK111" s="1082">
        <f t="shared" si="91"/>
        <v>9.6431082298021416</v>
      </c>
      <c r="BL111" s="1056">
        <f t="shared" si="61"/>
        <v>405.69418544885218</v>
      </c>
      <c r="BM111" s="167">
        <v>0</v>
      </c>
      <c r="BN111" s="1075">
        <f t="shared" si="92"/>
        <v>405.69418544885218</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7"/>
      <c r="X112" s="1025">
        <f>'Recycling - Case 1'!AM162</f>
        <v>930.11755452541024</v>
      </c>
      <c r="Y112" s="1026">
        <f>Parameters!S213</f>
        <v>0.71500000000000008</v>
      </c>
      <c r="Z112" s="1027">
        <f t="shared" si="68"/>
        <v>0.4</v>
      </c>
      <c r="AA112" s="1028">
        <f t="shared" si="69"/>
        <v>133.00681029713368</v>
      </c>
      <c r="AB112" s="1028">
        <f t="shared" si="70"/>
        <v>133.00681029713368</v>
      </c>
      <c r="AC112" s="1029">
        <f t="shared" si="71"/>
        <v>0</v>
      </c>
      <c r="AD112" s="1028">
        <f t="shared" si="72"/>
        <v>4036.7238921453854</v>
      </c>
      <c r="AE112" s="1028">
        <f t="shared" si="73"/>
        <v>200.14785472817303</v>
      </c>
      <c r="AF112" s="1030">
        <f t="shared" si="74"/>
        <v>133.43190315211535</v>
      </c>
      <c r="AG112" s="104"/>
      <c r="AH112" s="1025">
        <f>'Recycling - Case 1'!AM202</f>
        <v>930.11755452541024</v>
      </c>
      <c r="AI112" s="1026">
        <f>Parameters!S213</f>
        <v>0.71500000000000008</v>
      </c>
      <c r="AJ112" s="1027">
        <f t="shared" si="75"/>
        <v>0.4</v>
      </c>
      <c r="AK112" s="1028">
        <f t="shared" si="76"/>
        <v>133.00681029713368</v>
      </c>
      <c r="AL112" s="1028">
        <f t="shared" si="77"/>
        <v>133.00681029713368</v>
      </c>
      <c r="AM112" s="1029">
        <f t="shared" si="78"/>
        <v>0</v>
      </c>
      <c r="AN112" s="1028">
        <f t="shared" si="79"/>
        <v>4036.7238921453854</v>
      </c>
      <c r="AO112" s="1028">
        <f t="shared" si="80"/>
        <v>200.14785472817303</v>
      </c>
      <c r="AP112" s="1030">
        <f t="shared" si="81"/>
        <v>133.43190315211535</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133.43190315211535</v>
      </c>
      <c r="BD112" s="1082">
        <f t="shared" si="101"/>
        <v>9.8198881138529366</v>
      </c>
      <c r="BE112" s="1056">
        <f t="shared" si="60"/>
        <v>396.02227562085125</v>
      </c>
      <c r="BF112" s="167">
        <v>0</v>
      </c>
      <c r="BG112" s="1075">
        <f t="shared" si="88"/>
        <v>396.02227562085125</v>
      </c>
      <c r="BI112" s="1055">
        <f t="shared" si="89"/>
        <v>252.77048435488294</v>
      </c>
      <c r="BJ112" s="1056">
        <f t="shared" si="90"/>
        <v>133.43190315211535</v>
      </c>
      <c r="BK112" s="1082">
        <f t="shared" si="91"/>
        <v>9.8198881138529366</v>
      </c>
      <c r="BL112" s="1056">
        <f t="shared" si="61"/>
        <v>396.02227562085125</v>
      </c>
      <c r="BM112" s="167">
        <v>0</v>
      </c>
      <c r="BN112" s="1075">
        <f t="shared" si="92"/>
        <v>396.02227562085125</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7"/>
      <c r="X113" s="1025">
        <f>'Recycling - Case 1'!AM163</f>
        <v>940.07396995463841</v>
      </c>
      <c r="Y113" s="1026">
        <f>Parameters!S214</f>
        <v>0.71500000000000008</v>
      </c>
      <c r="Z113" s="1027">
        <f t="shared" si="68"/>
        <v>0.4</v>
      </c>
      <c r="AA113" s="1028">
        <f t="shared" si="69"/>
        <v>134.43057770351331</v>
      </c>
      <c r="AB113" s="1028">
        <f t="shared" si="70"/>
        <v>134.43057770351331</v>
      </c>
      <c r="AC113" s="1029">
        <f t="shared" si="71"/>
        <v>0</v>
      </c>
      <c r="AD113" s="1028">
        <f t="shared" si="72"/>
        <v>3974.2811224972506</v>
      </c>
      <c r="AE113" s="1028">
        <f t="shared" si="73"/>
        <v>196.87334735164808</v>
      </c>
      <c r="AF113" s="1030">
        <f t="shared" si="74"/>
        <v>131.24889823443206</v>
      </c>
      <c r="AG113" s="104"/>
      <c r="AH113" s="1025">
        <f>'Recycling - Case 1'!AM203</f>
        <v>940.07396995463841</v>
      </c>
      <c r="AI113" s="1026">
        <f>Parameters!S214</f>
        <v>0.71500000000000008</v>
      </c>
      <c r="AJ113" s="1027">
        <f t="shared" si="75"/>
        <v>0.4</v>
      </c>
      <c r="AK113" s="1028">
        <f t="shared" si="76"/>
        <v>134.43057770351331</v>
      </c>
      <c r="AL113" s="1028">
        <f t="shared" si="77"/>
        <v>134.43057770351331</v>
      </c>
      <c r="AM113" s="1029">
        <f t="shared" si="78"/>
        <v>0</v>
      </c>
      <c r="AN113" s="1028">
        <f t="shared" si="79"/>
        <v>3974.2811224972506</v>
      </c>
      <c r="AO113" s="1028">
        <f t="shared" si="80"/>
        <v>196.87334735164808</v>
      </c>
      <c r="AP113" s="1030">
        <f t="shared" si="81"/>
        <v>131.24889823443206</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131.24889823443206</v>
      </c>
      <c r="BD113" s="1082">
        <f t="shared" si="101"/>
        <v>9.9960103854633786</v>
      </c>
      <c r="BE113" s="1056">
        <f t="shared" si="60"/>
        <v>386.63325742479043</v>
      </c>
      <c r="BF113" s="167">
        <v>0</v>
      </c>
      <c r="BG113" s="1075">
        <f t="shared" si="88"/>
        <v>386.63325742479043</v>
      </c>
      <c r="BI113" s="1055">
        <f t="shared" si="89"/>
        <v>245.388348804895</v>
      </c>
      <c r="BJ113" s="1056">
        <f t="shared" si="90"/>
        <v>131.24889823443206</v>
      </c>
      <c r="BK113" s="1082">
        <f t="shared" si="91"/>
        <v>9.9960103854633786</v>
      </c>
      <c r="BL113" s="1056">
        <f t="shared" si="61"/>
        <v>386.63325742479043</v>
      </c>
      <c r="BM113" s="167">
        <v>0</v>
      </c>
      <c r="BN113" s="1075">
        <f t="shared" si="92"/>
        <v>386.63325742479043</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7"/>
      <c r="X114" s="1025">
        <f>'Recycling - Case 1'!AM164</f>
        <v>953.54569938062718</v>
      </c>
      <c r="Y114" s="1026">
        <f>Parameters!S215</f>
        <v>0.71500000000000008</v>
      </c>
      <c r="Z114" s="1027">
        <f t="shared" si="68"/>
        <v>0.4</v>
      </c>
      <c r="AA114" s="1028">
        <f t="shared" si="69"/>
        <v>136.3570350114297</v>
      </c>
      <c r="AB114" s="1028">
        <f t="shared" si="70"/>
        <v>136.3570350114297</v>
      </c>
      <c r="AC114" s="1029">
        <f t="shared" si="71"/>
        <v>0</v>
      </c>
      <c r="AD114" s="1028">
        <f t="shared" si="72"/>
        <v>3916.810179968541</v>
      </c>
      <c r="AE114" s="1028">
        <f t="shared" si="73"/>
        <v>193.82797754013922</v>
      </c>
      <c r="AF114" s="1030">
        <f t="shared" si="74"/>
        <v>129.21865169342615</v>
      </c>
      <c r="AG114" s="104"/>
      <c r="AH114" s="1025">
        <f>'Recycling - Case 1'!AM204</f>
        <v>953.54569938062718</v>
      </c>
      <c r="AI114" s="1026">
        <f>Parameters!S215</f>
        <v>0.71500000000000008</v>
      </c>
      <c r="AJ114" s="1027">
        <f t="shared" si="75"/>
        <v>0.4</v>
      </c>
      <c r="AK114" s="1028">
        <f t="shared" si="76"/>
        <v>136.3570350114297</v>
      </c>
      <c r="AL114" s="1028">
        <f t="shared" si="77"/>
        <v>136.3570350114297</v>
      </c>
      <c r="AM114" s="1029">
        <f t="shared" si="78"/>
        <v>0</v>
      </c>
      <c r="AN114" s="1028">
        <f t="shared" si="79"/>
        <v>3916.810179968541</v>
      </c>
      <c r="AO114" s="1028">
        <f t="shared" si="80"/>
        <v>193.82797754013922</v>
      </c>
      <c r="AP114" s="1030">
        <f t="shared" si="81"/>
        <v>129.21865169342615</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129.21865169342615</v>
      </c>
      <c r="BD114" s="1082">
        <f t="shared" si="101"/>
        <v>10.171604571160634</v>
      </c>
      <c r="BE114" s="1056">
        <f t="shared" si="60"/>
        <v>377.52556534052405</v>
      </c>
      <c r="BF114" s="167">
        <v>0</v>
      </c>
      <c r="BG114" s="1075">
        <f t="shared" si="88"/>
        <v>377.52556534052405</v>
      </c>
      <c r="BI114" s="1055">
        <f t="shared" si="89"/>
        <v>238.13530907593724</v>
      </c>
      <c r="BJ114" s="1056">
        <f t="shared" si="90"/>
        <v>129.21865169342615</v>
      </c>
      <c r="BK114" s="1082">
        <f t="shared" si="91"/>
        <v>10.171604571160634</v>
      </c>
      <c r="BL114" s="1056">
        <f t="shared" si="61"/>
        <v>377.52556534052405</v>
      </c>
      <c r="BM114" s="167">
        <v>0</v>
      </c>
      <c r="BN114" s="1075">
        <f t="shared" si="92"/>
        <v>377.52556534052405</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7"/>
      <c r="X115" s="1025">
        <f>'Recycling - Case 1'!AM165</f>
        <v>970.42631599095796</v>
      </c>
      <c r="Y115" s="1026">
        <f>Parameters!S216</f>
        <v>0.71500000000000008</v>
      </c>
      <c r="Z115" s="1027">
        <f t="shared" si="68"/>
        <v>0.4</v>
      </c>
      <c r="AA115" s="1028">
        <f t="shared" si="69"/>
        <v>138.77096318670701</v>
      </c>
      <c r="AB115" s="1028">
        <f t="shared" si="70"/>
        <v>138.77096318670701</v>
      </c>
      <c r="AC115" s="1029">
        <f t="shared" si="71"/>
        <v>0</v>
      </c>
      <c r="AD115" s="1028">
        <f t="shared" si="72"/>
        <v>3864.5560565567203</v>
      </c>
      <c r="AE115" s="1028">
        <f t="shared" si="73"/>
        <v>191.02508659852765</v>
      </c>
      <c r="AF115" s="1030">
        <f t="shared" si="74"/>
        <v>127.35005773235177</v>
      </c>
      <c r="AG115" s="104"/>
      <c r="AH115" s="1025">
        <f>'Recycling - Case 1'!AM205</f>
        <v>970.42631599095796</v>
      </c>
      <c r="AI115" s="1026">
        <f>Parameters!S216</f>
        <v>0.71500000000000008</v>
      </c>
      <c r="AJ115" s="1027">
        <f t="shared" si="75"/>
        <v>0.4</v>
      </c>
      <c r="AK115" s="1028">
        <f t="shared" si="76"/>
        <v>138.77096318670701</v>
      </c>
      <c r="AL115" s="1028">
        <f t="shared" si="77"/>
        <v>138.77096318670701</v>
      </c>
      <c r="AM115" s="1029">
        <f t="shared" si="78"/>
        <v>0</v>
      </c>
      <c r="AN115" s="1028">
        <f t="shared" si="79"/>
        <v>3864.5560565567203</v>
      </c>
      <c r="AO115" s="1028">
        <f t="shared" si="80"/>
        <v>191.02508659852765</v>
      </c>
      <c r="AP115" s="1030">
        <f t="shared" si="81"/>
        <v>127.35005773235177</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127.35005773235177</v>
      </c>
      <c r="BD115" s="1082">
        <f t="shared" si="101"/>
        <v>10.346793415919327</v>
      </c>
      <c r="BE115" s="1056">
        <f t="shared" si="60"/>
        <v>368.69746412950616</v>
      </c>
      <c r="BF115" s="167">
        <v>0</v>
      </c>
      <c r="BG115" s="1075">
        <f t="shared" si="88"/>
        <v>368.69746412950616</v>
      </c>
      <c r="BI115" s="1055">
        <f t="shared" si="89"/>
        <v>231.00061298123509</v>
      </c>
      <c r="BJ115" s="1056">
        <f t="shared" si="90"/>
        <v>127.35005773235177</v>
      </c>
      <c r="BK115" s="1082">
        <f t="shared" si="91"/>
        <v>10.346793415919327</v>
      </c>
      <c r="BL115" s="1056">
        <f t="shared" si="61"/>
        <v>368.69746412950616</v>
      </c>
      <c r="BM115" s="167">
        <v>0</v>
      </c>
      <c r="BN115" s="1075">
        <f t="shared" si="92"/>
        <v>368.69746412950616</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7"/>
      <c r="X116" s="1025">
        <f>'Recycling - Case 1'!AM166</f>
        <v>929.74223736950535</v>
      </c>
      <c r="Y116" s="1026">
        <f>Parameters!S217</f>
        <v>0.71500000000000008</v>
      </c>
      <c r="Z116" s="1027">
        <f t="shared" si="68"/>
        <v>0.4</v>
      </c>
      <c r="AA116" s="1028">
        <f t="shared" si="69"/>
        <v>132.95313994383929</v>
      </c>
      <c r="AB116" s="1028">
        <f t="shared" si="70"/>
        <v>132.95313994383929</v>
      </c>
      <c r="AC116" s="1029">
        <f t="shared" si="71"/>
        <v>0</v>
      </c>
      <c r="AD116" s="1028">
        <f t="shared" si="72"/>
        <v>3809.0325735730371</v>
      </c>
      <c r="AE116" s="1028">
        <f t="shared" si="73"/>
        <v>188.47662292752244</v>
      </c>
      <c r="AF116" s="1030">
        <f t="shared" si="74"/>
        <v>125.65108195168163</v>
      </c>
      <c r="AG116" s="104"/>
      <c r="AH116" s="1025">
        <f>'Recycling - Case 1'!AM206</f>
        <v>929.74223736950535</v>
      </c>
      <c r="AI116" s="1026">
        <f>Parameters!S217</f>
        <v>0.71500000000000008</v>
      </c>
      <c r="AJ116" s="1027">
        <f t="shared" si="75"/>
        <v>0.4</v>
      </c>
      <c r="AK116" s="1028">
        <f t="shared" si="76"/>
        <v>132.95313994383929</v>
      </c>
      <c r="AL116" s="1028">
        <f t="shared" si="77"/>
        <v>132.95313994383929</v>
      </c>
      <c r="AM116" s="1029">
        <f t="shared" si="78"/>
        <v>0</v>
      </c>
      <c r="AN116" s="1028">
        <f t="shared" si="79"/>
        <v>3809.0325735730371</v>
      </c>
      <c r="AO116" s="1028">
        <f t="shared" si="80"/>
        <v>188.47662292752244</v>
      </c>
      <c r="AP116" s="1030">
        <f t="shared" si="81"/>
        <v>125.65108195168163</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125.65108195168163</v>
      </c>
      <c r="BD116" s="1082">
        <f t="shared" si="101"/>
        <v>10.521693284028206</v>
      </c>
      <c r="BE116" s="1056">
        <f t="shared" si="60"/>
        <v>360.14680317228908</v>
      </c>
      <c r="BF116" s="167">
        <v>0</v>
      </c>
      <c r="BG116" s="1075">
        <f t="shared" si="88"/>
        <v>360.14680317228908</v>
      </c>
      <c r="BI116" s="1055">
        <f t="shared" si="89"/>
        <v>223.9740279365792</v>
      </c>
      <c r="BJ116" s="1056">
        <f t="shared" si="90"/>
        <v>125.65108195168163</v>
      </c>
      <c r="BK116" s="1082">
        <f t="shared" si="91"/>
        <v>10.521693284028206</v>
      </c>
      <c r="BL116" s="1056">
        <f t="shared" si="61"/>
        <v>360.14680317228908</v>
      </c>
      <c r="BM116" s="167">
        <v>0</v>
      </c>
      <c r="BN116" s="1075">
        <f t="shared" si="92"/>
        <v>360.14680317228908</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7"/>
      <c r="X117" s="1025">
        <f>'Recycling - Case 1'!AM167</f>
        <v>889.69011744659417</v>
      </c>
      <c r="Y117" s="1026">
        <f>Parameters!S218</f>
        <v>0.71500000000000008</v>
      </c>
      <c r="Z117" s="1027">
        <f t="shared" si="68"/>
        <v>0.4</v>
      </c>
      <c r="AA117" s="1028">
        <f t="shared" si="69"/>
        <v>127.22568679486299</v>
      </c>
      <c r="AB117" s="1028">
        <f t="shared" si="70"/>
        <v>127.22568679486299</v>
      </c>
      <c r="AC117" s="1029">
        <f t="shared" si="71"/>
        <v>0</v>
      </c>
      <c r="AD117" s="1028">
        <f t="shared" si="72"/>
        <v>3750.4895496592167</v>
      </c>
      <c r="AE117" s="1028">
        <f t="shared" si="73"/>
        <v>185.76871070868341</v>
      </c>
      <c r="AF117" s="1030">
        <f t="shared" si="74"/>
        <v>123.84580713912227</v>
      </c>
      <c r="AG117" s="104"/>
      <c r="AH117" s="1025">
        <f>'Recycling - Case 1'!AM207</f>
        <v>889.69011744659417</v>
      </c>
      <c r="AI117" s="1026">
        <f>Parameters!S218</f>
        <v>0.71500000000000008</v>
      </c>
      <c r="AJ117" s="1027">
        <f t="shared" si="75"/>
        <v>0.4</v>
      </c>
      <c r="AK117" s="1028">
        <f t="shared" si="76"/>
        <v>127.22568679486299</v>
      </c>
      <c r="AL117" s="1028">
        <f t="shared" si="77"/>
        <v>127.22568679486299</v>
      </c>
      <c r="AM117" s="1029">
        <f t="shared" si="78"/>
        <v>0</v>
      </c>
      <c r="AN117" s="1028">
        <f t="shared" si="79"/>
        <v>3750.4895496592167</v>
      </c>
      <c r="AO117" s="1028">
        <f t="shared" si="80"/>
        <v>185.76871070868341</v>
      </c>
      <c r="AP117" s="1030">
        <f t="shared" si="81"/>
        <v>123.84580713912227</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123.84580713912227</v>
      </c>
      <c r="BD117" s="1082">
        <f t="shared" si="101"/>
        <v>10.695548915056762</v>
      </c>
      <c r="BE117" s="1056">
        <f t="shared" si="60"/>
        <v>351.58637842739836</v>
      </c>
      <c r="BF117" s="167">
        <v>0</v>
      </c>
      <c r="BG117" s="1075">
        <f t="shared" si="88"/>
        <v>351.58637842739836</v>
      </c>
      <c r="BI117" s="1055">
        <f t="shared" si="89"/>
        <v>217.04502237321935</v>
      </c>
      <c r="BJ117" s="1056">
        <f t="shared" si="90"/>
        <v>123.84580713912227</v>
      </c>
      <c r="BK117" s="1082">
        <f t="shared" si="91"/>
        <v>10.695548915056762</v>
      </c>
      <c r="BL117" s="1056">
        <f t="shared" si="61"/>
        <v>351.58637842739836</v>
      </c>
      <c r="BM117" s="167">
        <v>0</v>
      </c>
      <c r="BN117" s="1075">
        <f t="shared" si="92"/>
        <v>351.58637842739836</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7"/>
      <c r="X118" s="1025">
        <f>'Recycling - Case 1'!AM168</f>
        <v>852.14366048817851</v>
      </c>
      <c r="Y118" s="1026">
        <f>Parameters!S219</f>
        <v>0.71500000000000008</v>
      </c>
      <c r="Z118" s="1027">
        <f t="shared" si="68"/>
        <v>0.4</v>
      </c>
      <c r="AA118" s="1028">
        <f t="shared" si="69"/>
        <v>121.85654344980954</v>
      </c>
      <c r="AB118" s="1028">
        <f t="shared" si="70"/>
        <v>121.85654344980954</v>
      </c>
      <c r="AC118" s="1029">
        <f t="shared" si="71"/>
        <v>0</v>
      </c>
      <c r="AD118" s="1028">
        <f t="shared" si="72"/>
        <v>3689.4325593680883</v>
      </c>
      <c r="AE118" s="1028">
        <f t="shared" si="73"/>
        <v>182.91353374093791</v>
      </c>
      <c r="AF118" s="1030">
        <f t="shared" si="74"/>
        <v>121.94235582729193</v>
      </c>
      <c r="AG118" s="104"/>
      <c r="AH118" s="1025">
        <f>'Recycling - Case 1'!AM208</f>
        <v>852.14366048817851</v>
      </c>
      <c r="AI118" s="1026">
        <f>Parameters!S219</f>
        <v>0.71500000000000008</v>
      </c>
      <c r="AJ118" s="1027">
        <f t="shared" si="75"/>
        <v>0.4</v>
      </c>
      <c r="AK118" s="1028">
        <f t="shared" si="76"/>
        <v>121.85654344980954</v>
      </c>
      <c r="AL118" s="1028">
        <f t="shared" si="77"/>
        <v>121.85654344980954</v>
      </c>
      <c r="AM118" s="1029">
        <f t="shared" si="78"/>
        <v>0</v>
      </c>
      <c r="AN118" s="1028">
        <f t="shared" si="79"/>
        <v>3689.4325593680883</v>
      </c>
      <c r="AO118" s="1028">
        <f t="shared" si="80"/>
        <v>182.91353374093791</v>
      </c>
      <c r="AP118" s="1030">
        <f t="shared" si="81"/>
        <v>121.94235582729193</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121.94235582729193</v>
      </c>
      <c r="BD118" s="1082">
        <f t="shared" si="101"/>
        <v>10.868494188855946</v>
      </c>
      <c r="BE118" s="1056">
        <f t="shared" si="60"/>
        <v>343.01533033866946</v>
      </c>
      <c r="BF118" s="167">
        <v>0</v>
      </c>
      <c r="BG118" s="1075">
        <f t="shared" si="88"/>
        <v>343.01533033866946</v>
      </c>
      <c r="BI118" s="1055">
        <f t="shared" si="89"/>
        <v>210.20448032252156</v>
      </c>
      <c r="BJ118" s="1056">
        <f t="shared" si="90"/>
        <v>121.94235582729193</v>
      </c>
      <c r="BK118" s="1082">
        <f t="shared" si="91"/>
        <v>10.868494188855946</v>
      </c>
      <c r="BL118" s="1056">
        <f t="shared" si="61"/>
        <v>343.01533033866946</v>
      </c>
      <c r="BM118" s="167">
        <v>0</v>
      </c>
      <c r="BN118" s="1075">
        <f t="shared" si="92"/>
        <v>343.01533033866946</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7"/>
      <c r="X119" s="1025">
        <f>'Recycling - Case 1'!AM169</f>
        <v>816.76311394113168</v>
      </c>
      <c r="Y119" s="1026">
        <f>Parameters!S220</f>
        <v>0.71500000000000008</v>
      </c>
      <c r="Z119" s="1027">
        <f t="shared" si="68"/>
        <v>0.4</v>
      </c>
      <c r="AA119" s="1028">
        <f t="shared" si="69"/>
        <v>116.79712529358184</v>
      </c>
      <c r="AB119" s="1028">
        <f t="shared" si="70"/>
        <v>116.79712529358184</v>
      </c>
      <c r="AC119" s="1029">
        <f t="shared" si="71"/>
        <v>0</v>
      </c>
      <c r="AD119" s="1028">
        <f t="shared" si="72"/>
        <v>3626.2939354754849</v>
      </c>
      <c r="AE119" s="1028">
        <f t="shared" si="73"/>
        <v>179.93574918618526</v>
      </c>
      <c r="AF119" s="1030">
        <f t="shared" si="74"/>
        <v>119.9571661241235</v>
      </c>
      <c r="AG119" s="104"/>
      <c r="AH119" s="1025">
        <f>'Recycling - Case 1'!AM209</f>
        <v>816.76311394113168</v>
      </c>
      <c r="AI119" s="1026">
        <f>Parameters!S220</f>
        <v>0.71500000000000008</v>
      </c>
      <c r="AJ119" s="1027">
        <f t="shared" si="75"/>
        <v>0.4</v>
      </c>
      <c r="AK119" s="1028">
        <f t="shared" si="76"/>
        <v>116.79712529358184</v>
      </c>
      <c r="AL119" s="1028">
        <f t="shared" si="77"/>
        <v>116.79712529358184</v>
      </c>
      <c r="AM119" s="1029">
        <f t="shared" si="78"/>
        <v>0</v>
      </c>
      <c r="AN119" s="1028">
        <f t="shared" si="79"/>
        <v>3626.2939354754849</v>
      </c>
      <c r="AO119" s="1028">
        <f t="shared" si="80"/>
        <v>179.93574918618526</v>
      </c>
      <c r="AP119" s="1030">
        <f t="shared" si="81"/>
        <v>119.9571661241235</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119.9571661241235</v>
      </c>
      <c r="BD119" s="1082">
        <f t="shared" si="101"/>
        <v>11.040655696511761</v>
      </c>
      <c r="BE119" s="1056">
        <f t="shared" si="60"/>
        <v>334.72460444623249</v>
      </c>
      <c r="BF119" s="167">
        <v>0</v>
      </c>
      <c r="BG119" s="1075">
        <f t="shared" si="88"/>
        <v>334.72460444623249</v>
      </c>
      <c r="BI119" s="1055">
        <f t="shared" si="89"/>
        <v>203.72678262559725</v>
      </c>
      <c r="BJ119" s="1056">
        <f t="shared" si="90"/>
        <v>119.9571661241235</v>
      </c>
      <c r="BK119" s="1082">
        <f t="shared" si="91"/>
        <v>11.040655696511761</v>
      </c>
      <c r="BL119" s="1056">
        <f t="shared" si="61"/>
        <v>334.72460444623249</v>
      </c>
      <c r="BM119" s="167">
        <v>0</v>
      </c>
      <c r="BN119" s="1075">
        <f t="shared" si="92"/>
        <v>334.72460444623249</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7"/>
      <c r="X120" s="1031">
        <f>'Recycling - Case 1'!AM170</f>
        <v>783.59392189594655</v>
      </c>
      <c r="Y120" s="1032">
        <f>Parameters!S221</f>
        <v>0.71500000000000008</v>
      </c>
      <c r="Z120" s="1033">
        <f t="shared" si="68"/>
        <v>0.4</v>
      </c>
      <c r="AA120" s="1034">
        <f t="shared" si="69"/>
        <v>112.05393083112037</v>
      </c>
      <c r="AB120" s="1034">
        <f t="shared" si="70"/>
        <v>112.05393083112037</v>
      </c>
      <c r="AC120" s="1035">
        <f t="shared" si="71"/>
        <v>0</v>
      </c>
      <c r="AD120" s="1034">
        <f t="shared" si="72"/>
        <v>3561.4914241438951</v>
      </c>
      <c r="AE120" s="1034">
        <f t="shared" si="73"/>
        <v>176.85644216271004</v>
      </c>
      <c r="AF120" s="1036">
        <f t="shared" si="74"/>
        <v>117.90429477514003</v>
      </c>
      <c r="AG120" s="104"/>
      <c r="AH120" s="1031">
        <f>'Recycling - Case 1'!AM210</f>
        <v>783.59392189594655</v>
      </c>
      <c r="AI120" s="1032">
        <f>Parameters!S221</f>
        <v>0.71500000000000008</v>
      </c>
      <c r="AJ120" s="1033">
        <f t="shared" si="75"/>
        <v>0.4</v>
      </c>
      <c r="AK120" s="1034">
        <f t="shared" si="76"/>
        <v>112.05393083112037</v>
      </c>
      <c r="AL120" s="1034">
        <f t="shared" si="77"/>
        <v>112.05393083112037</v>
      </c>
      <c r="AM120" s="1035">
        <f t="shared" si="78"/>
        <v>0</v>
      </c>
      <c r="AN120" s="1034">
        <f t="shared" si="79"/>
        <v>3561.4914241438951</v>
      </c>
      <c r="AO120" s="1034">
        <f t="shared" si="80"/>
        <v>176.85644216271004</v>
      </c>
      <c r="AP120" s="1036">
        <f t="shared" si="81"/>
        <v>117.90429477514003</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117.90429477514003</v>
      </c>
      <c r="BD120" s="1083">
        <f t="shared" si="101"/>
        <v>11.212153168090163</v>
      </c>
      <c r="BE120" s="1058">
        <f t="shared" si="60"/>
        <v>326.71070142159397</v>
      </c>
      <c r="BF120" s="1059">
        <v>0</v>
      </c>
      <c r="BG120" s="1076">
        <f t="shared" si="88"/>
        <v>326.71070142159397</v>
      </c>
      <c r="BI120" s="1057">
        <f t="shared" si="89"/>
        <v>197.59425347836381</v>
      </c>
      <c r="BJ120" s="1058">
        <f t="shared" si="90"/>
        <v>117.90429477514003</v>
      </c>
      <c r="BK120" s="1083">
        <f t="shared" si="91"/>
        <v>11.212153168090163</v>
      </c>
      <c r="BL120" s="1058">
        <f t="shared" si="61"/>
        <v>326.71070142159397</v>
      </c>
      <c r="BM120" s="1059">
        <v>0</v>
      </c>
      <c r="BN120" s="1076">
        <f t="shared" si="92"/>
        <v>326.71070142159397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39"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3">
        <f>Parameters!F102</f>
        <v>0.5</v>
      </c>
      <c r="F11" s="104"/>
      <c r="G11" s="104"/>
      <c r="X11" s="2"/>
      <c r="Y11" s="2"/>
      <c r="Z11" s="2"/>
      <c r="AA11" s="2"/>
      <c r="AB11" s="2"/>
      <c r="AC11" s="2"/>
      <c r="AD11" s="2"/>
      <c r="AE11" s="2"/>
      <c r="AF11" s="2"/>
      <c r="AG11" s="2"/>
      <c r="AH11" s="2"/>
      <c r="AI11" s="2"/>
    </row>
    <row r="12" spans="1:66" ht="15.75" thickBot="1">
      <c r="A12" s="151" t="s">
        <v>722</v>
      </c>
      <c r="B12" s="108">
        <v>2002</v>
      </c>
      <c r="C12" s="108"/>
      <c r="D12" s="1444">
        <f>'Waste Summary 2017 SASOW'!L29</f>
        <v>0.13527885904981399</v>
      </c>
      <c r="E12" s="1173"/>
      <c r="F12" s="104"/>
      <c r="G12" s="104"/>
      <c r="X12" s="2" t="s">
        <v>645</v>
      </c>
      <c r="Y12" s="2"/>
      <c r="Z12" s="2"/>
      <c r="AA12" s="2"/>
      <c r="AB12" s="2"/>
      <c r="AC12" s="2"/>
      <c r="AD12" s="2"/>
      <c r="AE12" s="2"/>
      <c r="AF12" s="2"/>
      <c r="AG12" s="2"/>
      <c r="AH12" s="2" t="s">
        <v>649</v>
      </c>
      <c r="AI12" s="2"/>
      <c r="BB12" s="314" t="s">
        <v>645</v>
      </c>
      <c r="BI12" t="s">
        <v>649</v>
      </c>
    </row>
    <row r="13" spans="1:66" ht="15.75" thickBot="1">
      <c r="A13" s="151" t="s">
        <v>722</v>
      </c>
      <c r="B13" s="108">
        <v>2017</v>
      </c>
      <c r="C13" s="108"/>
      <c r="D13" s="1444">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8" t="s">
        <v>319</v>
      </c>
      <c r="BC13" s="1749"/>
      <c r="BD13" s="1749"/>
      <c r="BE13" s="1749"/>
      <c r="BF13" s="1749"/>
      <c r="BG13" s="1750"/>
      <c r="BI13" s="1748" t="s">
        <v>319</v>
      </c>
      <c r="BJ13" s="1749"/>
      <c r="BK13" s="1749"/>
      <c r="BL13" s="1749"/>
      <c r="BM13" s="1749"/>
      <c r="BN13" s="1750"/>
    </row>
    <row r="14" spans="1:66" ht="15.75" thickBot="1">
      <c r="A14" s="152" t="s">
        <v>721</v>
      </c>
      <c r="B14" s="163"/>
      <c r="C14" s="163"/>
      <c r="D14" s="683">
        <f>'Waste Summary 2017 SASOW'!$L$26</f>
        <v>6.9875113374971584E-2</v>
      </c>
      <c r="E14" s="1445"/>
      <c r="F14" s="10"/>
      <c r="G14" s="10"/>
      <c r="H14" s="10"/>
      <c r="I14" s="10"/>
      <c r="J14" s="10"/>
      <c r="K14" s="10"/>
      <c r="L14" s="10"/>
      <c r="M14" s="10"/>
      <c r="N14" s="231"/>
      <c r="O14" s="10"/>
      <c r="P14" s="10"/>
      <c r="Q14" s="10"/>
      <c r="R14" s="10"/>
      <c r="S14" s="10"/>
      <c r="T14" s="10"/>
      <c r="U14" s="10"/>
      <c r="V14" s="10"/>
      <c r="W14" s="10"/>
      <c r="X14" s="2"/>
      <c r="AG14" s="10"/>
      <c r="AH14" s="2"/>
      <c r="AR14" s="2"/>
      <c r="BB14" s="1186"/>
      <c r="BC14" s="168"/>
      <c r="BD14" s="168"/>
      <c r="BE14" s="168"/>
      <c r="BF14" s="168"/>
      <c r="BG14" s="1187"/>
      <c r="BI14" s="1186"/>
      <c r="BJ14" s="168"/>
      <c r="BK14" s="168"/>
      <c r="BL14" s="168"/>
      <c r="BM14" s="168"/>
      <c r="BN14" s="1187"/>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6"/>
      <c r="BC15" s="168"/>
      <c r="BD15" s="168"/>
      <c r="BE15" s="168"/>
      <c r="BF15" s="168"/>
      <c r="BG15" s="1187"/>
      <c r="BI15" s="1186"/>
      <c r="BJ15" s="168"/>
      <c r="BK15" s="168"/>
      <c r="BL15" s="168"/>
      <c r="BM15" s="168"/>
      <c r="BN15" s="1187"/>
    </row>
    <row r="16" spans="1:66" ht="115.15" customHeight="1">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973" t="s">
        <v>722</v>
      </c>
      <c r="X16" s="213" t="s">
        <v>719</v>
      </c>
      <c r="Y16" s="214" t="s">
        <v>22</v>
      </c>
      <c r="Z16" s="214" t="s">
        <v>236</v>
      </c>
      <c r="AA16" s="215" t="s">
        <v>237</v>
      </c>
      <c r="AB16" s="215" t="s">
        <v>238</v>
      </c>
      <c r="AC16" s="215" t="s">
        <v>239</v>
      </c>
      <c r="AD16" s="215" t="s">
        <v>240</v>
      </c>
      <c r="AE16" s="215" t="s">
        <v>241</v>
      </c>
      <c r="AF16" s="221" t="s">
        <v>300</v>
      </c>
      <c r="AG16" s="1762" t="s">
        <v>722</v>
      </c>
      <c r="AH16" s="1450"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3"/>
      <c r="AH17" s="1451"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4"/>
      <c r="AH18" s="145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48">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3">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7">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4">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4">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4">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4">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4">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4">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4">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4">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4">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4">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4">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5">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5">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5">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5">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5">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6">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0">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880.94428889018752</v>
      </c>
      <c r="Y89" s="853">
        <f>Parameters!S224</f>
        <v>0.71500000000000008</v>
      </c>
      <c r="Z89" s="853">
        <f t="shared" si="63"/>
        <v>0.4</v>
      </c>
      <c r="AA89" s="854">
        <f t="shared" si="64"/>
        <v>125.97503331129684</v>
      </c>
      <c r="AB89" s="854">
        <f t="shared" si="65"/>
        <v>125.97503331129684</v>
      </c>
      <c r="AC89" s="855">
        <f t="shared" si="66"/>
        <v>0</v>
      </c>
      <c r="AD89" s="854">
        <f t="shared" si="67"/>
        <v>10191.987183679203</v>
      </c>
      <c r="AE89" s="854">
        <f t="shared" si="68"/>
        <v>516.09547908374179</v>
      </c>
      <c r="AF89" s="856">
        <f t="shared" si="69"/>
        <v>344.06365272249451</v>
      </c>
      <c r="AH89" s="852">
        <f>'Recycling - Case 2'!AM179</f>
        <v>880.94428889018752</v>
      </c>
      <c r="AI89" s="853">
        <f>Parameters!S224</f>
        <v>0.71500000000000008</v>
      </c>
      <c r="AJ89" s="853">
        <f t="shared" si="70"/>
        <v>0.4</v>
      </c>
      <c r="AK89" s="854">
        <f t="shared" si="71"/>
        <v>125.97503331129684</v>
      </c>
      <c r="AL89" s="854">
        <f t="shared" si="72"/>
        <v>125.97503331129684</v>
      </c>
      <c r="AM89" s="855">
        <f t="shared" si="73"/>
        <v>0</v>
      </c>
      <c r="AN89" s="854">
        <f t="shared" si="74"/>
        <v>10191.987183679203</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686.95010376176072</v>
      </c>
      <c r="Y90" s="853">
        <f>Parameters!S225</f>
        <v>0.71500000000000008</v>
      </c>
      <c r="Z90" s="853">
        <f t="shared" si="63"/>
        <v>0.4</v>
      </c>
      <c r="AA90" s="854">
        <f t="shared" si="64"/>
        <v>98.23386483793179</v>
      </c>
      <c r="AB90" s="854">
        <f t="shared" si="65"/>
        <v>98.23386483793179</v>
      </c>
      <c r="AC90" s="855">
        <f t="shared" si="66"/>
        <v>0</v>
      </c>
      <c r="AD90" s="854">
        <f t="shared" si="67"/>
        <v>9793.1519680877536</v>
      </c>
      <c r="AE90" s="854">
        <f t="shared" si="68"/>
        <v>497.0690804293817</v>
      </c>
      <c r="AF90" s="856">
        <f t="shared" si="69"/>
        <v>331.37938695292115</v>
      </c>
      <c r="AH90" s="852">
        <f>'Recycling - Case 2'!AM180</f>
        <v>686.95010376176072</v>
      </c>
      <c r="AI90" s="853">
        <f>Parameters!S225</f>
        <v>0.71500000000000008</v>
      </c>
      <c r="AJ90" s="853">
        <f t="shared" si="70"/>
        <v>0.4</v>
      </c>
      <c r="AK90" s="854">
        <f t="shared" si="71"/>
        <v>98.23386483793179</v>
      </c>
      <c r="AL90" s="854">
        <f t="shared" si="72"/>
        <v>98.23386483793179</v>
      </c>
      <c r="AM90" s="855">
        <f t="shared" si="73"/>
        <v>0</v>
      </c>
      <c r="AN90" s="854">
        <f t="shared" si="74"/>
        <v>9793.1519680877536</v>
      </c>
      <c r="AO90" s="854">
        <f t="shared" si="75"/>
        <v>497.0690804293817</v>
      </c>
      <c r="AP90" s="856">
        <f t="shared" si="76"/>
        <v>331.37938695292115</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331.37938695292115</v>
      </c>
      <c r="BD90" s="1082">
        <f t="shared" si="90"/>
        <v>5.8885995123248653</v>
      </c>
      <c r="BE90" s="1056">
        <f t="shared" si="54"/>
        <v>782.04082261743906</v>
      </c>
      <c r="BF90" s="167">
        <v>0</v>
      </c>
      <c r="BG90" s="1075">
        <f t="shared" si="83"/>
        <v>782.04082261743906</v>
      </c>
      <c r="BI90" s="1055">
        <f t="shared" si="84"/>
        <v>444.77283615219312</v>
      </c>
      <c r="BJ90" s="1056">
        <f t="shared" si="85"/>
        <v>331.37938695292115</v>
      </c>
      <c r="BK90" s="1082">
        <f t="shared" si="86"/>
        <v>5.8885995123248653</v>
      </c>
      <c r="BL90" s="1056">
        <f t="shared" si="55"/>
        <v>782.04082261743906</v>
      </c>
      <c r="BM90" s="167">
        <v>0</v>
      </c>
      <c r="BN90" s="1075">
        <f t="shared" si="87"/>
        <v>782.04082261743906</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86.333160761719043</v>
      </c>
      <c r="Y91" s="853">
        <f>Parameters!S226</f>
        <v>0.71500000000000008</v>
      </c>
      <c r="Z91" s="853">
        <f t="shared" si="63"/>
        <v>0.4</v>
      </c>
      <c r="AA91" s="854">
        <f t="shared" si="64"/>
        <v>12.345641988925825</v>
      </c>
      <c r="AB91" s="854">
        <f t="shared" si="65"/>
        <v>12.345641988925825</v>
      </c>
      <c r="AC91" s="855">
        <f t="shared" si="66"/>
        <v>0</v>
      </c>
      <c r="AD91" s="854">
        <f t="shared" si="67"/>
        <v>9327.8799526410749</v>
      </c>
      <c r="AE91" s="854">
        <f t="shared" si="68"/>
        <v>477.61765743560494</v>
      </c>
      <c r="AF91" s="856">
        <f t="shared" si="69"/>
        <v>318.41177162373663</v>
      </c>
      <c r="AG91" s="4"/>
      <c r="AH91" s="852">
        <f>'Recycling - Case 2'!AM181</f>
        <v>86.333160761719043</v>
      </c>
      <c r="AI91" s="853">
        <f>Parameters!S226</f>
        <v>0.71500000000000008</v>
      </c>
      <c r="AJ91" s="853">
        <f t="shared" si="70"/>
        <v>0.4</v>
      </c>
      <c r="AK91" s="854">
        <f t="shared" si="71"/>
        <v>12.345641988925825</v>
      </c>
      <c r="AL91" s="854">
        <f t="shared" si="72"/>
        <v>12.345641988925825</v>
      </c>
      <c r="AM91" s="855">
        <f t="shared" si="73"/>
        <v>0</v>
      </c>
      <c r="AN91" s="854">
        <f t="shared" si="74"/>
        <v>9327.8799526410749</v>
      </c>
      <c r="AO91" s="854">
        <f t="shared" si="75"/>
        <v>477.61765743560494</v>
      </c>
      <c r="AP91" s="856">
        <f t="shared" si="76"/>
        <v>318.41177162373663</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318.41177162373663</v>
      </c>
      <c r="BD91" s="1082">
        <f t="shared" si="90"/>
        <v>6.0874866051680776</v>
      </c>
      <c r="BE91" s="1056">
        <f t="shared" si="54"/>
        <v>760.94445165686489</v>
      </c>
      <c r="BF91" s="167">
        <v>0</v>
      </c>
      <c r="BG91" s="1075">
        <f t="shared" si="83"/>
        <v>760.94445165686489</v>
      </c>
      <c r="BI91" s="1055">
        <f t="shared" si="84"/>
        <v>436.44519342796008</v>
      </c>
      <c r="BJ91" s="1056">
        <f t="shared" si="85"/>
        <v>318.41177162373663</v>
      </c>
      <c r="BK91" s="1082">
        <f t="shared" si="86"/>
        <v>6.0874866051680776</v>
      </c>
      <c r="BL91" s="1056">
        <f t="shared" si="55"/>
        <v>760.94445165686489</v>
      </c>
      <c r="BM91" s="167">
        <v>0</v>
      </c>
      <c r="BN91" s="1075">
        <f t="shared" si="87"/>
        <v>760.94445165686489</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8872.9538791625164</v>
      </c>
      <c r="AE92" s="854">
        <f t="shared" si="68"/>
        <v>454.92607347855773</v>
      </c>
      <c r="AF92" s="856">
        <f t="shared" si="69"/>
        <v>303.28404898570517</v>
      </c>
      <c r="AG92" s="4"/>
      <c r="AH92" s="852">
        <f>'Recycling - Case 2'!AM182</f>
        <v>0</v>
      </c>
      <c r="AI92" s="853">
        <f>Parameters!S227</f>
        <v>0.71500000000000008</v>
      </c>
      <c r="AJ92" s="853">
        <f t="shared" si="70"/>
        <v>0.4</v>
      </c>
      <c r="AK92" s="854">
        <f t="shared" si="71"/>
        <v>0</v>
      </c>
      <c r="AL92" s="854">
        <f t="shared" si="72"/>
        <v>0</v>
      </c>
      <c r="AM92" s="855">
        <f t="shared" si="73"/>
        <v>0</v>
      </c>
      <c r="AN92" s="854">
        <f t="shared" si="74"/>
        <v>8872.9538791625164</v>
      </c>
      <c r="AO92" s="854">
        <f t="shared" si="75"/>
        <v>454.92607347855773</v>
      </c>
      <c r="AP92" s="856">
        <f t="shared" si="76"/>
        <v>303.28404898570517</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303.28404898570517</v>
      </c>
      <c r="BD92" s="1082">
        <f t="shared" si="90"/>
        <v>6.2916749638121372</v>
      </c>
      <c r="BE92" s="1056">
        <f t="shared" si="54"/>
        <v>734.97626299832916</v>
      </c>
      <c r="BF92" s="167">
        <v>0</v>
      </c>
      <c r="BG92" s="1075">
        <f t="shared" si="83"/>
        <v>734.97626299832916</v>
      </c>
      <c r="BI92" s="1055">
        <f t="shared" si="84"/>
        <v>425.40053904881188</v>
      </c>
      <c r="BJ92" s="1056">
        <f t="shared" si="85"/>
        <v>303.28404898570517</v>
      </c>
      <c r="BK92" s="1082">
        <f t="shared" si="86"/>
        <v>6.2916749638121372</v>
      </c>
      <c r="BL92" s="1056">
        <f t="shared" si="55"/>
        <v>734.97626299832916</v>
      </c>
      <c r="BM92" s="167">
        <v>0</v>
      </c>
      <c r="BN92" s="1075">
        <f t="shared" si="87"/>
        <v>734.97626299832916</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8440.2148120971378</v>
      </c>
      <c r="AE93" s="854">
        <f t="shared" si="68"/>
        <v>432.73906706537792</v>
      </c>
      <c r="AF93" s="856">
        <f t="shared" si="69"/>
        <v>288.49271137691863</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8440.2148120971378</v>
      </c>
      <c r="AO93" s="854">
        <f t="shared" si="75"/>
        <v>432.73906706537792</v>
      </c>
      <c r="AP93" s="856">
        <f t="shared" si="76"/>
        <v>288.49271137691863</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288.49271137691863</v>
      </c>
      <c r="BD93" s="1082">
        <f t="shared" si="90"/>
        <v>6.5011728353183846</v>
      </c>
      <c r="BE93" s="1056">
        <f t="shared" si="54"/>
        <v>707.38447455493747</v>
      </c>
      <c r="BF93" s="167">
        <v>0</v>
      </c>
      <c r="BG93" s="1075">
        <f t="shared" si="83"/>
        <v>707.38447455493747</v>
      </c>
      <c r="BI93" s="1055">
        <f t="shared" si="84"/>
        <v>412.39059034270048</v>
      </c>
      <c r="BJ93" s="1056">
        <f t="shared" si="85"/>
        <v>288.49271137691863</v>
      </c>
      <c r="BK93" s="1082">
        <f t="shared" si="86"/>
        <v>6.5011728353183846</v>
      </c>
      <c r="BL93" s="1056">
        <f t="shared" si="55"/>
        <v>707.38447455493747</v>
      </c>
      <c r="BM93" s="167">
        <v>0</v>
      </c>
      <c r="BN93" s="1075">
        <f t="shared" si="87"/>
        <v>707.38447455493747</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8028.5806783735625</v>
      </c>
      <c r="AE94" s="854">
        <f t="shared" si="68"/>
        <v>411.6341337235753</v>
      </c>
      <c r="AF94" s="856">
        <f t="shared" si="69"/>
        <v>274.42275581571687</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8028.5806783735625</v>
      </c>
      <c r="AO94" s="854">
        <f t="shared" si="75"/>
        <v>411.6341337235753</v>
      </c>
      <c r="AP94" s="856">
        <f t="shared" si="76"/>
        <v>274.42275581571687</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274.42275581571687</v>
      </c>
      <c r="BD94" s="1082">
        <f t="shared" si="90"/>
        <v>6.7159930473860614</v>
      </c>
      <c r="BE94" s="1056">
        <f t="shared" si="54"/>
        <v>680.91669222470216</v>
      </c>
      <c r="BF94" s="167">
        <v>0</v>
      </c>
      <c r="BG94" s="1075">
        <f t="shared" si="83"/>
        <v>680.91669222470216</v>
      </c>
      <c r="BI94" s="1055">
        <f t="shared" si="84"/>
        <v>399.77794336159923</v>
      </c>
      <c r="BJ94" s="1056">
        <f t="shared" si="85"/>
        <v>274.42275581571687</v>
      </c>
      <c r="BK94" s="1082">
        <f t="shared" si="86"/>
        <v>6.7159930473860614</v>
      </c>
      <c r="BL94" s="1056">
        <f t="shared" si="55"/>
        <v>680.91669222470216</v>
      </c>
      <c r="BM94" s="167">
        <v>0</v>
      </c>
      <c r="BN94" s="1075">
        <f t="shared" si="87"/>
        <v>680.91669222470216</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7637.0221782468361</v>
      </c>
      <c r="AE95" s="854">
        <f t="shared" si="68"/>
        <v>391.55850012672653</v>
      </c>
      <c r="AF95" s="856">
        <f t="shared" si="69"/>
        <v>261.03900008448437</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7637.0221782468361</v>
      </c>
      <c r="AO95" s="854">
        <f t="shared" si="75"/>
        <v>391.55850012672653</v>
      </c>
      <c r="AP95" s="856">
        <f t="shared" si="76"/>
        <v>261.03900008448437</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261.03900008448437</v>
      </c>
      <c r="BD95" s="1082">
        <f t="shared" si="90"/>
        <v>6.9361528161185868</v>
      </c>
      <c r="BE95" s="1056">
        <f t="shared" si="54"/>
        <v>655.49202267803923</v>
      </c>
      <c r="BF95" s="167">
        <v>0</v>
      </c>
      <c r="BG95" s="1075">
        <f t="shared" si="83"/>
        <v>655.49202267803923</v>
      </c>
      <c r="BI95" s="1055">
        <f t="shared" si="84"/>
        <v>387.51686977743628</v>
      </c>
      <c r="BJ95" s="1056">
        <f t="shared" si="85"/>
        <v>261.03900008448437</v>
      </c>
      <c r="BK95" s="1082">
        <f t="shared" si="86"/>
        <v>6.9361528161185868</v>
      </c>
      <c r="BL95" s="1056">
        <f t="shared" si="55"/>
        <v>655.49202267803923</v>
      </c>
      <c r="BM95" s="167">
        <v>0</v>
      </c>
      <c r="BN95" s="1075">
        <f t="shared" si="87"/>
        <v>655.49202267803923</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7264.5602115129277</v>
      </c>
      <c r="AE96" s="854">
        <f t="shared" si="68"/>
        <v>372.46196673390881</v>
      </c>
      <c r="AF96" s="856">
        <f t="shared" si="69"/>
        <v>248.30797782260586</v>
      </c>
      <c r="AG96" s="4"/>
      <c r="AH96" s="852">
        <f>'Recycling - Case 2'!AM186</f>
        <v>0</v>
      </c>
      <c r="AI96" s="853">
        <f>Parameters!S231</f>
        <v>0.71500000000000008</v>
      </c>
      <c r="AJ96" s="853">
        <f t="shared" si="70"/>
        <v>0.4</v>
      </c>
      <c r="AK96" s="854">
        <f t="shared" si="71"/>
        <v>0</v>
      </c>
      <c r="AL96" s="854">
        <f t="shared" si="72"/>
        <v>0</v>
      </c>
      <c r="AM96" s="855">
        <f t="shared" si="73"/>
        <v>0</v>
      </c>
      <c r="AN96" s="854">
        <f t="shared" si="74"/>
        <v>7264.5602115129277</v>
      </c>
      <c r="AO96" s="854">
        <f t="shared" si="75"/>
        <v>372.46196673390881</v>
      </c>
      <c r="AP96" s="856">
        <f t="shared" si="76"/>
        <v>248.30797782260586</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248.30797782260586</v>
      </c>
      <c r="BD96" s="1082">
        <f t="shared" si="90"/>
        <v>7.1616735660298199</v>
      </c>
      <c r="BE96" s="1056">
        <f t="shared" si="54"/>
        <v>631.03304384108696</v>
      </c>
      <c r="BF96" s="167">
        <v>0</v>
      </c>
      <c r="BG96" s="1075">
        <f t="shared" si="83"/>
        <v>631.03304384108696</v>
      </c>
      <c r="BI96" s="1055">
        <f t="shared" si="84"/>
        <v>375.5633924524513</v>
      </c>
      <c r="BJ96" s="1056">
        <f t="shared" si="85"/>
        <v>248.30797782260586</v>
      </c>
      <c r="BK96" s="1082">
        <f t="shared" si="86"/>
        <v>7.1616735660298199</v>
      </c>
      <c r="BL96" s="1056">
        <f t="shared" si="55"/>
        <v>631.03304384108696</v>
      </c>
      <c r="BM96" s="167">
        <v>0</v>
      </c>
      <c r="BN96" s="1075">
        <f t="shared" si="87"/>
        <v>631.03304384108696</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6910.2634292482271</v>
      </c>
      <c r="AE97" s="854">
        <f t="shared" si="68"/>
        <v>354.2967822647002</v>
      </c>
      <c r="AF97" s="856">
        <f t="shared" si="69"/>
        <v>236.19785484313346</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6910.2634292482271</v>
      </c>
      <c r="AO97" s="854">
        <f t="shared" si="75"/>
        <v>354.2967822647002</v>
      </c>
      <c r="AP97" s="856">
        <f t="shared" si="76"/>
        <v>236.19785484313346</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236.19785484313346</v>
      </c>
      <c r="BD97" s="1082">
        <f t="shared" si="90"/>
        <v>7.391512426558168</v>
      </c>
      <c r="BE97" s="1056">
        <f t="shared" si="54"/>
        <v>607.46182717331499</v>
      </c>
      <c r="BF97" s="167">
        <v>0</v>
      </c>
      <c r="BG97" s="1075">
        <f t="shared" si="83"/>
        <v>607.46182717331499</v>
      </c>
      <c r="BI97" s="1055">
        <f t="shared" si="84"/>
        <v>363.87245990362339</v>
      </c>
      <c r="BJ97" s="1056">
        <f t="shared" si="85"/>
        <v>236.19785484313346</v>
      </c>
      <c r="BK97" s="1082">
        <f t="shared" si="86"/>
        <v>7.391512426558168</v>
      </c>
      <c r="BL97" s="1056">
        <f t="shared" si="55"/>
        <v>607.46182717331499</v>
      </c>
      <c r="BM97" s="167">
        <v>0</v>
      </c>
      <c r="BN97" s="1075">
        <f t="shared" si="87"/>
        <v>607.46182717331499</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6573.2459049521212</v>
      </c>
      <c r="AE98" s="854">
        <f t="shared" si="68"/>
        <v>337.01752429610553</v>
      </c>
      <c r="AF98" s="856">
        <f t="shared" si="69"/>
        <v>224.67834953073702</v>
      </c>
      <c r="AG98" s="4"/>
      <c r="AH98" s="852">
        <f>'Recycling - Case 2'!AM188</f>
        <v>0</v>
      </c>
      <c r="AI98" s="853">
        <f>Parameters!S233</f>
        <v>0.71500000000000008</v>
      </c>
      <c r="AJ98" s="853">
        <f t="shared" si="70"/>
        <v>0.4</v>
      </c>
      <c r="AK98" s="854">
        <f t="shared" si="71"/>
        <v>0</v>
      </c>
      <c r="AL98" s="854">
        <f t="shared" si="72"/>
        <v>0</v>
      </c>
      <c r="AM98" s="855">
        <f t="shared" si="73"/>
        <v>0</v>
      </c>
      <c r="AN98" s="854">
        <f t="shared" si="74"/>
        <v>6573.2459049521212</v>
      </c>
      <c r="AO98" s="854">
        <f t="shared" si="75"/>
        <v>337.01752429610553</v>
      </c>
      <c r="AP98" s="856">
        <f t="shared" si="76"/>
        <v>224.67834953073702</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224.67834953073702</v>
      </c>
      <c r="BD98" s="1082">
        <f t="shared" si="90"/>
        <v>7.6257005725941918</v>
      </c>
      <c r="BE98" s="1056">
        <f t="shared" si="54"/>
        <v>584.70785139629322</v>
      </c>
      <c r="BF98" s="167">
        <v>0</v>
      </c>
      <c r="BG98" s="1075">
        <f t="shared" si="83"/>
        <v>584.70785139629322</v>
      </c>
      <c r="BI98" s="1055">
        <f t="shared" si="84"/>
        <v>352.40380129296199</v>
      </c>
      <c r="BJ98" s="1056">
        <f t="shared" si="85"/>
        <v>224.67834953073702</v>
      </c>
      <c r="BK98" s="1082">
        <f t="shared" si="86"/>
        <v>7.6257005725941918</v>
      </c>
      <c r="BL98" s="1056">
        <f t="shared" si="55"/>
        <v>584.70785139629322</v>
      </c>
      <c r="BM98" s="167">
        <v>0</v>
      </c>
      <c r="BN98" s="1075">
        <f t="shared" si="87"/>
        <v>584.70785139629322</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6252.6649192692812</v>
      </c>
      <c r="AE99" s="854">
        <f t="shared" si="68"/>
        <v>320.58098568283987</v>
      </c>
      <c r="AF99" s="856">
        <f t="shared" si="69"/>
        <v>213.72065712189325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6252.6649192692812</v>
      </c>
      <c r="AO99" s="854">
        <f t="shared" si="75"/>
        <v>320.58098568283987</v>
      </c>
      <c r="AP99" s="856">
        <f t="shared" si="76"/>
        <v>213.72065712189325</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213.72065712189325</v>
      </c>
      <c r="BD99" s="1082">
        <f t="shared" si="90"/>
        <v>7.8642712376260375</v>
      </c>
      <c r="BE99" s="1056">
        <f t="shared" si="54"/>
        <v>562.70353211242491</v>
      </c>
      <c r="BF99" s="167">
        <v>0</v>
      </c>
      <c r="BG99" s="1075">
        <f t="shared" si="83"/>
        <v>562.70353211242491</v>
      </c>
      <c r="BI99" s="1055">
        <f t="shared" si="84"/>
        <v>341.11860375290564</v>
      </c>
      <c r="BJ99" s="1056">
        <f t="shared" si="85"/>
        <v>213.72065712189325</v>
      </c>
      <c r="BK99" s="1082">
        <f t="shared" si="86"/>
        <v>7.8642712376260375</v>
      </c>
      <c r="BL99" s="1056">
        <f t="shared" si="55"/>
        <v>562.70353211242491</v>
      </c>
      <c r="BM99" s="167">
        <v>0</v>
      </c>
      <c r="BN99" s="1075">
        <f t="shared" si="87"/>
        <v>562.70353211242491</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5947.7188527523222</v>
      </c>
      <c r="AE100" s="854">
        <f t="shared" si="68"/>
        <v>304.94606651695938</v>
      </c>
      <c r="AF100" s="856">
        <f t="shared" si="69"/>
        <v>203.29737767797292</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5947.7188527523222</v>
      </c>
      <c r="AO100" s="854">
        <f t="shared" si="75"/>
        <v>304.94606651695938</v>
      </c>
      <c r="AP100" s="856">
        <f t="shared" si="76"/>
        <v>203.29737767797292</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203.29737767797292</v>
      </c>
      <c r="BD100" s="1082">
        <f t="shared" si="90"/>
        <v>8.1072596427450581</v>
      </c>
      <c r="BE100" s="1056">
        <f t="shared" si="54"/>
        <v>541.38405999812608</v>
      </c>
      <c r="BF100" s="167">
        <v>0</v>
      </c>
      <c r="BG100" s="1075">
        <f t="shared" si="83"/>
        <v>541.38405999812608</v>
      </c>
      <c r="BI100" s="1055">
        <f t="shared" si="84"/>
        <v>329.97942267740808</v>
      </c>
      <c r="BJ100" s="1056">
        <f t="shared" si="85"/>
        <v>203.29737767797292</v>
      </c>
      <c r="BK100" s="1082">
        <f t="shared" si="86"/>
        <v>8.1072596427450581</v>
      </c>
      <c r="BL100" s="1056">
        <f t="shared" si="55"/>
        <v>541.38405999812608</v>
      </c>
      <c r="BM100" s="167">
        <v>0</v>
      </c>
      <c r="BN100" s="1075">
        <f t="shared" si="87"/>
        <v>541.38405999812608</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5657.6451813956382</v>
      </c>
      <c r="AE101" s="854">
        <f t="shared" si="68"/>
        <v>290.07367135668375</v>
      </c>
      <c r="AF101" s="856">
        <f t="shared" si="69"/>
        <v>193.3824475711225</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5657.6451813956382</v>
      </c>
      <c r="AO101" s="854">
        <f t="shared" si="75"/>
        <v>290.07367135668375</v>
      </c>
      <c r="AP101" s="856">
        <f t="shared" si="76"/>
        <v>193.3824475711225</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193.3824475711225</v>
      </c>
      <c r="BD101" s="1082">
        <f t="shared" si="90"/>
        <v>8.3547029303730156</v>
      </c>
      <c r="BE101" s="1056">
        <f t="shared" si="54"/>
        <v>520.68724570379879</v>
      </c>
      <c r="BF101" s="167">
        <v>0</v>
      </c>
      <c r="BG101" s="1075">
        <f t="shared" si="83"/>
        <v>520.68724570379879</v>
      </c>
      <c r="BI101" s="1055">
        <f t="shared" si="84"/>
        <v>318.9500952023032</v>
      </c>
      <c r="BJ101" s="1056">
        <f t="shared" si="85"/>
        <v>193.3824475711225</v>
      </c>
      <c r="BK101" s="1082">
        <f t="shared" si="86"/>
        <v>8.3547029303730156</v>
      </c>
      <c r="BL101" s="1056">
        <f t="shared" si="55"/>
        <v>520.68724570379879</v>
      </c>
      <c r="BM101" s="167">
        <v>0</v>
      </c>
      <c r="BN101" s="1075">
        <f t="shared" si="87"/>
        <v>520.68724570379879</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5381.7185699282109</v>
      </c>
      <c r="AE102" s="854">
        <f t="shared" si="68"/>
        <v>275.92661146742751</v>
      </c>
      <c r="AF102" s="856">
        <f t="shared" si="69"/>
        <v>183.95107431161833</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5381.7185699282109</v>
      </c>
      <c r="AO102" s="854">
        <f t="shared" si="75"/>
        <v>275.92661146742751</v>
      </c>
      <c r="AP102" s="856">
        <f t="shared" si="76"/>
        <v>183.95107431161833</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183.95107431161833</v>
      </c>
      <c r="BD102" s="1082">
        <f t="shared" si="90"/>
        <v>8.5938772770593896</v>
      </c>
      <c r="BE102" s="1056">
        <f t="shared" si="54"/>
        <v>500.42822686517138</v>
      </c>
      <c r="BF102" s="167">
        <v>0</v>
      </c>
      <c r="BG102" s="1075">
        <f t="shared" si="83"/>
        <v>500.42822686517138</v>
      </c>
      <c r="BI102" s="1055">
        <f t="shared" si="84"/>
        <v>307.88327527649363</v>
      </c>
      <c r="BJ102" s="1056">
        <f t="shared" si="85"/>
        <v>183.95107431161833</v>
      </c>
      <c r="BK102" s="1082">
        <f t="shared" si="86"/>
        <v>8.5938772770593896</v>
      </c>
      <c r="BL102" s="1056">
        <f t="shared" si="55"/>
        <v>500.42822686517138</v>
      </c>
      <c r="BM102" s="167">
        <v>0</v>
      </c>
      <c r="BN102" s="1075">
        <f t="shared" si="87"/>
        <v>500.42822686517138</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5119.2490580976173</v>
      </c>
      <c r="AE103" s="854">
        <f t="shared" si="68"/>
        <v>262.46951183059321</v>
      </c>
      <c r="AF103" s="856">
        <f t="shared" si="69"/>
        <v>174.97967455372881</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5119.2490580976173</v>
      </c>
      <c r="AO103" s="854">
        <f t="shared" si="75"/>
        <v>262.46951183059321</v>
      </c>
      <c r="AP103" s="856">
        <f t="shared" si="76"/>
        <v>174.97967455372881</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174.97967455372881</v>
      </c>
      <c r="BD103" s="1082">
        <f t="shared" si="90"/>
        <v>8.8253166376919747</v>
      </c>
      <c r="BE103" s="1056">
        <f t="shared" si="54"/>
        <v>480.58334812510867</v>
      </c>
      <c r="BF103" s="167">
        <v>0</v>
      </c>
      <c r="BG103" s="1075">
        <f t="shared" si="83"/>
        <v>480.58334812510867</v>
      </c>
      <c r="BI103" s="1055">
        <f t="shared" si="84"/>
        <v>296.77835693368792</v>
      </c>
      <c r="BJ103" s="1056">
        <f t="shared" si="85"/>
        <v>174.97967455372881</v>
      </c>
      <c r="BK103" s="1082">
        <f t="shared" si="86"/>
        <v>8.8253166376919747</v>
      </c>
      <c r="BL103" s="1056">
        <f t="shared" si="55"/>
        <v>480.58334812510867</v>
      </c>
      <c r="BM103" s="167">
        <v>0</v>
      </c>
      <c r="BN103" s="1075">
        <f t="shared" si="87"/>
        <v>480.58334812510867</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4869.580335410019</v>
      </c>
      <c r="AE104" s="854">
        <f t="shared" si="68"/>
        <v>249.66872268759852</v>
      </c>
      <c r="AF104" s="856">
        <f t="shared" si="69"/>
        <v>166.44581512506568</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4869.580335410019</v>
      </c>
      <c r="AO104" s="854">
        <f t="shared" si="75"/>
        <v>249.66872268759852</v>
      </c>
      <c r="AP104" s="856">
        <f t="shared" si="76"/>
        <v>166.44581512506568</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166.44581512506568</v>
      </c>
      <c r="BD104" s="1082">
        <f t="shared" si="90"/>
        <v>9.049524319321451</v>
      </c>
      <c r="BE104" s="1056">
        <f t="shared" si="54"/>
        <v>461.71789239887715</v>
      </c>
      <c r="BF104" s="167">
        <v>0</v>
      </c>
      <c r="BG104" s="1075">
        <f t="shared" si="83"/>
        <v>461.71789239887715</v>
      </c>
      <c r="BI104" s="1055">
        <f t="shared" si="84"/>
        <v>286.22255295449003</v>
      </c>
      <c r="BJ104" s="1056">
        <f t="shared" si="85"/>
        <v>166.44581512506568</v>
      </c>
      <c r="BK104" s="1082">
        <f t="shared" si="86"/>
        <v>9.049524319321451</v>
      </c>
      <c r="BL104" s="1056">
        <f t="shared" si="55"/>
        <v>461.71789239887715</v>
      </c>
      <c r="BM104" s="167">
        <v>0</v>
      </c>
      <c r="BN104" s="1075">
        <f t="shared" si="87"/>
        <v>461.71789239887715</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4632.0881000120662</v>
      </c>
      <c r="AE105" s="854">
        <f t="shared" si="68"/>
        <v>237.4922353979527</v>
      </c>
      <c r="AF105" s="856">
        <f t="shared" si="69"/>
        <v>158.32815693196846</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4632.0881000120662</v>
      </c>
      <c r="AO105" s="854">
        <f t="shared" si="75"/>
        <v>237.4922353979527</v>
      </c>
      <c r="AP105" s="856">
        <f t="shared" si="76"/>
        <v>158.32815693196846</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158.32815693196846</v>
      </c>
      <c r="BD105" s="1082">
        <f t="shared" si="90"/>
        <v>9.2669747697696376</v>
      </c>
      <c r="BE105" s="1056">
        <f t="shared" si="54"/>
        <v>443.78410687728183</v>
      </c>
      <c r="BF105" s="167">
        <v>0</v>
      </c>
      <c r="BG105" s="1075">
        <f t="shared" si="83"/>
        <v>443.78410687728183</v>
      </c>
      <c r="BI105" s="1055">
        <f t="shared" si="84"/>
        <v>276.1889751755437</v>
      </c>
      <c r="BJ105" s="1056">
        <f t="shared" si="85"/>
        <v>158.32815693196846</v>
      </c>
      <c r="BK105" s="1082">
        <f t="shared" si="86"/>
        <v>9.2669747697696376</v>
      </c>
      <c r="BL105" s="1056">
        <f t="shared" si="55"/>
        <v>443.78410687728183</v>
      </c>
      <c r="BM105" s="167">
        <v>0</v>
      </c>
      <c r="BN105" s="1075">
        <f t="shared" si="87"/>
        <v>443.78410687728183</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9.9882043742214659</v>
      </c>
      <c r="Y106" s="853">
        <f>Parameters!S241</f>
        <v>0.71500000000000008</v>
      </c>
      <c r="Z106" s="853">
        <f t="shared" si="63"/>
        <v>0.4</v>
      </c>
      <c r="AA106" s="854">
        <f t="shared" si="64"/>
        <v>1.4283132255136699</v>
      </c>
      <c r="AB106" s="854">
        <f t="shared" si="65"/>
        <v>1.4283132255136699</v>
      </c>
      <c r="AC106" s="855">
        <f t="shared" si="66"/>
        <v>0</v>
      </c>
      <c r="AD106" s="854">
        <f t="shared" si="67"/>
        <v>4407.606810836598</v>
      </c>
      <c r="AE106" s="854">
        <f t="shared" si="68"/>
        <v>225.90960240098264</v>
      </c>
      <c r="AF106" s="856">
        <f t="shared" si="69"/>
        <v>150.60640160065509</v>
      </c>
      <c r="AG106" s="4"/>
      <c r="AH106" s="852">
        <f>'Recycling - Case 2'!AM196</f>
        <v>9.9882043742214659</v>
      </c>
      <c r="AI106" s="853">
        <f>Parameters!S241</f>
        <v>0.71500000000000008</v>
      </c>
      <c r="AJ106" s="853">
        <f t="shared" si="70"/>
        <v>0.4</v>
      </c>
      <c r="AK106" s="854">
        <f t="shared" si="71"/>
        <v>1.4283132255136699</v>
      </c>
      <c r="AL106" s="854">
        <f t="shared" si="72"/>
        <v>1.4283132255136699</v>
      </c>
      <c r="AM106" s="855">
        <f t="shared" si="73"/>
        <v>0</v>
      </c>
      <c r="AN106" s="854">
        <f t="shared" si="74"/>
        <v>4407.606810836598</v>
      </c>
      <c r="AO106" s="854">
        <f t="shared" si="75"/>
        <v>225.90960240098264</v>
      </c>
      <c r="AP106" s="856">
        <f t="shared" si="76"/>
        <v>150.60640160065509</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150.60640160065509</v>
      </c>
      <c r="BD106" s="1082">
        <f t="shared" si="90"/>
        <v>9.4781152621098883</v>
      </c>
      <c r="BE106" s="1056">
        <f t="shared" si="54"/>
        <v>426.7365656755473</v>
      </c>
      <c r="BF106" s="167">
        <v>0</v>
      </c>
      <c r="BG106" s="1075">
        <f t="shared" si="83"/>
        <v>426.7365656755473</v>
      </c>
      <c r="BI106" s="1055">
        <f t="shared" si="84"/>
        <v>266.65204881278231</v>
      </c>
      <c r="BJ106" s="1056">
        <f t="shared" si="85"/>
        <v>150.60640160065509</v>
      </c>
      <c r="BK106" s="1082">
        <f t="shared" si="86"/>
        <v>9.4781152621098883</v>
      </c>
      <c r="BL106" s="1056">
        <f t="shared" si="55"/>
        <v>426.7365656755473</v>
      </c>
      <c r="BM106" s="167">
        <v>0</v>
      </c>
      <c r="BN106" s="1075">
        <f t="shared" si="87"/>
        <v>426.7365656755473</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161.86338959728286</v>
      </c>
      <c r="Y107" s="853">
        <f>Parameters!S242</f>
        <v>0.71500000000000008</v>
      </c>
      <c r="Z107" s="853">
        <f t="shared" si="63"/>
        <v>0.4</v>
      </c>
      <c r="AA107" s="854">
        <f t="shared" si="64"/>
        <v>23.146464712411451</v>
      </c>
      <c r="AB107" s="854">
        <f t="shared" si="65"/>
        <v>23.146464712411451</v>
      </c>
      <c r="AC107" s="855">
        <f t="shared" si="66"/>
        <v>0</v>
      </c>
      <c r="AD107" s="854">
        <f t="shared" si="67"/>
        <v>4215.7917548099358</v>
      </c>
      <c r="AE107" s="854">
        <f t="shared" si="68"/>
        <v>214.96152073907342</v>
      </c>
      <c r="AF107" s="856">
        <f t="shared" si="69"/>
        <v>143.3076804927156</v>
      </c>
      <c r="AG107" s="4"/>
      <c r="AH107" s="852">
        <f>'Recycling - Case 2'!AM197</f>
        <v>161.86338959728286</v>
      </c>
      <c r="AI107" s="853">
        <f>Parameters!S242</f>
        <v>0.71500000000000008</v>
      </c>
      <c r="AJ107" s="853">
        <f t="shared" si="70"/>
        <v>0.4</v>
      </c>
      <c r="AK107" s="854">
        <f t="shared" si="71"/>
        <v>23.146464712411451</v>
      </c>
      <c r="AL107" s="854">
        <f t="shared" si="72"/>
        <v>23.146464712411451</v>
      </c>
      <c r="AM107" s="855">
        <f t="shared" si="73"/>
        <v>0</v>
      </c>
      <c r="AN107" s="854">
        <f t="shared" si="74"/>
        <v>4215.7917548099358</v>
      </c>
      <c r="AO107" s="854">
        <f t="shared" si="75"/>
        <v>214.96152073907342</v>
      </c>
      <c r="AP107" s="856">
        <f t="shared" si="76"/>
        <v>143.3076804927156</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143.3076804927156</v>
      </c>
      <c r="BD107" s="1082">
        <f t="shared" si="90"/>
        <v>9.6824566655644659</v>
      </c>
      <c r="BE107" s="1056">
        <f t="shared" si="54"/>
        <v>410.57657136511477</v>
      </c>
      <c r="BF107" s="167">
        <v>0</v>
      </c>
      <c r="BG107" s="1075">
        <f t="shared" si="83"/>
        <v>410.57657136511477</v>
      </c>
      <c r="BI107" s="1055">
        <f t="shared" si="84"/>
        <v>257.58643420683467</v>
      </c>
      <c r="BJ107" s="1056">
        <f t="shared" si="85"/>
        <v>143.3076804927156</v>
      </c>
      <c r="BK107" s="1082">
        <f t="shared" si="86"/>
        <v>9.6824566655644659</v>
      </c>
      <c r="BL107" s="1056">
        <f t="shared" si="55"/>
        <v>410.57657136511477</v>
      </c>
      <c r="BM107" s="167">
        <v>0</v>
      </c>
      <c r="BN107" s="1075">
        <f t="shared" si="87"/>
        <v>410.57657136511477</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258.50728365194686</v>
      </c>
      <c r="Y108" s="853">
        <f>Parameters!S243</f>
        <v>0.71500000000000008</v>
      </c>
      <c r="Z108" s="853">
        <f t="shared" si="63"/>
        <v>0.4</v>
      </c>
      <c r="AA108" s="854">
        <f t="shared" si="64"/>
        <v>36.966541562228407</v>
      </c>
      <c r="AB108" s="854">
        <f t="shared" si="65"/>
        <v>36.966541562228407</v>
      </c>
      <c r="AC108" s="855">
        <f t="shared" si="66"/>
        <v>0</v>
      </c>
      <c r="AD108" s="854">
        <f t="shared" si="67"/>
        <v>4047.1517063049391</v>
      </c>
      <c r="AE108" s="854">
        <f t="shared" si="68"/>
        <v>205.60659006722531</v>
      </c>
      <c r="AF108" s="856">
        <f t="shared" si="69"/>
        <v>137.07106004481687</v>
      </c>
      <c r="AG108" s="4"/>
      <c r="AH108" s="852">
        <f>'Recycling - Case 2'!AM198</f>
        <v>258.50728365194686</v>
      </c>
      <c r="AI108" s="853">
        <f>Parameters!S243</f>
        <v>0.71500000000000008</v>
      </c>
      <c r="AJ108" s="853">
        <f t="shared" si="70"/>
        <v>0.4</v>
      </c>
      <c r="AK108" s="854">
        <f t="shared" si="71"/>
        <v>36.966541562228407</v>
      </c>
      <c r="AL108" s="854">
        <f t="shared" si="72"/>
        <v>36.966541562228407</v>
      </c>
      <c r="AM108" s="855">
        <f t="shared" si="73"/>
        <v>0</v>
      </c>
      <c r="AN108" s="854">
        <f t="shared" si="74"/>
        <v>4047.1517063049391</v>
      </c>
      <c r="AO108" s="854">
        <f t="shared" si="75"/>
        <v>205.60659006722531</v>
      </c>
      <c r="AP108" s="856">
        <f t="shared" si="76"/>
        <v>137.07106004481687</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137.07106004481687</v>
      </c>
      <c r="BD108" s="1082">
        <f t="shared" si="90"/>
        <v>9.8804351710040521</v>
      </c>
      <c r="BE108" s="1056">
        <f t="shared" si="54"/>
        <v>395.92056536791347</v>
      </c>
      <c r="BF108" s="167">
        <v>0</v>
      </c>
      <c r="BG108" s="1075">
        <f t="shared" si="83"/>
        <v>395.92056536791347</v>
      </c>
      <c r="BI108" s="1055">
        <f t="shared" si="84"/>
        <v>248.9690701520926</v>
      </c>
      <c r="BJ108" s="1056">
        <f t="shared" si="85"/>
        <v>137.07106004481687</v>
      </c>
      <c r="BK108" s="1082">
        <f t="shared" si="86"/>
        <v>9.8804351710040521</v>
      </c>
      <c r="BL108" s="1056">
        <f t="shared" si="55"/>
        <v>395.92056536791347</v>
      </c>
      <c r="BM108" s="167">
        <v>0</v>
      </c>
      <c r="BN108" s="1075">
        <f t="shared" si="87"/>
        <v>395.92056536791347</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356.5958404200191</v>
      </c>
      <c r="Y109" s="853">
        <f>Parameters!S244</f>
        <v>0.71500000000000008</v>
      </c>
      <c r="Z109" s="853">
        <f t="shared" si="63"/>
        <v>0.4</v>
      </c>
      <c r="AA109" s="854">
        <f t="shared" si="64"/>
        <v>50.993205180062738</v>
      </c>
      <c r="AB109" s="854">
        <f t="shared" si="65"/>
        <v>50.993205180062738</v>
      </c>
      <c r="AC109" s="855">
        <f t="shared" si="66"/>
        <v>0</v>
      </c>
      <c r="AD109" s="854">
        <f t="shared" si="67"/>
        <v>3900.7629936355929</v>
      </c>
      <c r="AE109" s="854">
        <f t="shared" si="68"/>
        <v>197.38191784940912</v>
      </c>
      <c r="AF109" s="856">
        <f t="shared" si="69"/>
        <v>131.5879452329394</v>
      </c>
      <c r="AG109" s="4"/>
      <c r="AH109" s="852">
        <f>'Recycling - Case 2'!AM199</f>
        <v>356.5958404200191</v>
      </c>
      <c r="AI109" s="853">
        <f>Parameters!S244</f>
        <v>0.71500000000000008</v>
      </c>
      <c r="AJ109" s="853">
        <f t="shared" si="70"/>
        <v>0.4</v>
      </c>
      <c r="AK109" s="854">
        <f t="shared" si="71"/>
        <v>50.993205180062738</v>
      </c>
      <c r="AL109" s="854">
        <f t="shared" si="72"/>
        <v>50.993205180062738</v>
      </c>
      <c r="AM109" s="855">
        <f t="shared" si="73"/>
        <v>0</v>
      </c>
      <c r="AN109" s="854">
        <f t="shared" si="74"/>
        <v>3900.7629936355929</v>
      </c>
      <c r="AO109" s="854">
        <f t="shared" si="75"/>
        <v>197.38191784940912</v>
      </c>
      <c r="AP109" s="856">
        <f t="shared" si="76"/>
        <v>131.5879452329394</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131.5879452329394</v>
      </c>
      <c r="BD109" s="1082">
        <f t="shared" si="90"/>
        <v>10.072461862144058</v>
      </c>
      <c r="BE109" s="1056">
        <f t="shared" si="54"/>
        <v>382.43842844349564</v>
      </c>
      <c r="BF109" s="167">
        <v>0</v>
      </c>
      <c r="BG109" s="1075">
        <f t="shared" si="83"/>
        <v>382.43842844349564</v>
      </c>
      <c r="BI109" s="1055">
        <f t="shared" si="84"/>
        <v>240.77802134841218</v>
      </c>
      <c r="BJ109" s="1056">
        <f t="shared" si="85"/>
        <v>131.5879452329394</v>
      </c>
      <c r="BK109" s="1082">
        <f t="shared" si="86"/>
        <v>10.072461862144058</v>
      </c>
      <c r="BL109" s="1056">
        <f t="shared" si="55"/>
        <v>382.43842844349564</v>
      </c>
      <c r="BM109" s="167">
        <v>0</v>
      </c>
      <c r="BN109" s="1075">
        <f t="shared" si="87"/>
        <v>382.43842844349564</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455.99897565582518</v>
      </c>
      <c r="Y110" s="853">
        <f>Parameters!S245</f>
        <v>0.71500000000000008</v>
      </c>
      <c r="Z110" s="853">
        <f t="shared" si="63"/>
        <v>0.4</v>
      </c>
      <c r="AA110" s="854">
        <f t="shared" si="64"/>
        <v>65.207853518783011</v>
      </c>
      <c r="AB110" s="854">
        <f t="shared" si="65"/>
        <v>65.207853518783011</v>
      </c>
      <c r="AC110" s="855">
        <f t="shared" si="66"/>
        <v>0</v>
      </c>
      <c r="AD110" s="854">
        <f t="shared" si="67"/>
        <v>3775.7283910684505</v>
      </c>
      <c r="AE110" s="854">
        <f t="shared" si="68"/>
        <v>190.24245608592551</v>
      </c>
      <c r="AF110" s="856">
        <f t="shared" si="69"/>
        <v>126.82830405728367</v>
      </c>
      <c r="AG110" s="4"/>
      <c r="AH110" s="852">
        <f>'Recycling - Case 2'!AM200</f>
        <v>455.99897565582518</v>
      </c>
      <c r="AI110" s="853">
        <f>Parameters!S245</f>
        <v>0.71500000000000008</v>
      </c>
      <c r="AJ110" s="853">
        <f t="shared" si="70"/>
        <v>0.4</v>
      </c>
      <c r="AK110" s="854">
        <f t="shared" si="71"/>
        <v>65.207853518783011</v>
      </c>
      <c r="AL110" s="854">
        <f t="shared" si="72"/>
        <v>65.207853518783011</v>
      </c>
      <c r="AM110" s="855">
        <f t="shared" si="73"/>
        <v>0</v>
      </c>
      <c r="AN110" s="854">
        <f t="shared" si="74"/>
        <v>3775.7283910684505</v>
      </c>
      <c r="AO110" s="854">
        <f t="shared" si="75"/>
        <v>190.24245608592551</v>
      </c>
      <c r="AP110" s="856">
        <f t="shared" si="76"/>
        <v>126.82830405728367</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126.82830405728367</v>
      </c>
      <c r="BD110" s="1082">
        <f t="shared" si="90"/>
        <v>10.258924179828504</v>
      </c>
      <c r="BE110" s="1056">
        <f t="shared" si="54"/>
        <v>370.07965170230568</v>
      </c>
      <c r="BF110" s="167">
        <v>0</v>
      </c>
      <c r="BG110" s="1075">
        <f t="shared" si="83"/>
        <v>370.07965170230568</v>
      </c>
      <c r="BI110" s="1055">
        <f t="shared" si="84"/>
        <v>232.9924234651935</v>
      </c>
      <c r="BJ110" s="1056">
        <f t="shared" si="85"/>
        <v>126.82830405728367</v>
      </c>
      <c r="BK110" s="1082">
        <f t="shared" si="86"/>
        <v>10.258924179828504</v>
      </c>
      <c r="BL110" s="1056">
        <f t="shared" si="55"/>
        <v>370.07965170230568</v>
      </c>
      <c r="BM110" s="167">
        <v>0</v>
      </c>
      <c r="BN110" s="1075">
        <f t="shared" si="87"/>
        <v>370.07965170230568</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510.5346400406039</v>
      </c>
      <c r="Y111" s="853">
        <f>Parameters!S246</f>
        <v>0.71500000000000008</v>
      </c>
      <c r="Z111" s="853">
        <f t="shared" si="63"/>
        <v>0.4</v>
      </c>
      <c r="AA111" s="854">
        <f t="shared" si="64"/>
        <v>73.006453525806378</v>
      </c>
      <c r="AB111" s="854">
        <f t="shared" si="65"/>
        <v>73.006453525806378</v>
      </c>
      <c r="AC111" s="855">
        <f t="shared" si="66"/>
        <v>0</v>
      </c>
      <c r="AD111" s="854">
        <f t="shared" si="67"/>
        <v>3664.5903980328558</v>
      </c>
      <c r="AE111" s="854">
        <f t="shared" si="68"/>
        <v>184.14444656140145</v>
      </c>
      <c r="AF111" s="856">
        <f t="shared" si="69"/>
        <v>122.76296437426764</v>
      </c>
      <c r="AG111" s="4"/>
      <c r="AH111" s="852">
        <f>'Recycling - Case 2'!AM201</f>
        <v>510.5346400406039</v>
      </c>
      <c r="AI111" s="853">
        <f>Parameters!S246</f>
        <v>0.71500000000000008</v>
      </c>
      <c r="AJ111" s="853">
        <f t="shared" si="70"/>
        <v>0.4</v>
      </c>
      <c r="AK111" s="854">
        <f t="shared" si="71"/>
        <v>73.006453525806378</v>
      </c>
      <c r="AL111" s="854">
        <f t="shared" si="72"/>
        <v>73.006453525806378</v>
      </c>
      <c r="AM111" s="855">
        <f t="shared" si="73"/>
        <v>0</v>
      </c>
      <c r="AN111" s="854">
        <f t="shared" si="74"/>
        <v>3664.5903980328558</v>
      </c>
      <c r="AO111" s="854">
        <f t="shared" si="75"/>
        <v>184.14444656140145</v>
      </c>
      <c r="AP111" s="856">
        <f t="shared" si="76"/>
        <v>122.76296437426764</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122.76296437426764</v>
      </c>
      <c r="BD111" s="1082">
        <f t="shared" si="90"/>
        <v>10.440187301056445</v>
      </c>
      <c r="BE111" s="1056">
        <f t="shared" si="54"/>
        <v>358.79558256068293</v>
      </c>
      <c r="BF111" s="167">
        <v>0</v>
      </c>
      <c r="BG111" s="1075">
        <f t="shared" si="83"/>
        <v>358.79558256068293</v>
      </c>
      <c r="BI111" s="1055">
        <f t="shared" si="84"/>
        <v>225.59243088535888</v>
      </c>
      <c r="BJ111" s="1056">
        <f t="shared" si="85"/>
        <v>122.76296437426764</v>
      </c>
      <c r="BK111" s="1082">
        <f t="shared" si="86"/>
        <v>10.440187301056445</v>
      </c>
      <c r="BL111" s="1056">
        <f t="shared" si="55"/>
        <v>358.79558256068293</v>
      </c>
      <c r="BM111" s="167">
        <v>0</v>
      </c>
      <c r="BN111" s="1075">
        <f t="shared" si="87"/>
        <v>358.79558256068293</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565.49715303087601</v>
      </c>
      <c r="Y112" s="853">
        <f>Parameters!S247</f>
        <v>0.71500000000000008</v>
      </c>
      <c r="Z112" s="853">
        <f t="shared" si="63"/>
        <v>0.4</v>
      </c>
      <c r="AA112" s="854">
        <f t="shared" si="64"/>
        <v>80.866092883415277</v>
      </c>
      <c r="AB112" s="854">
        <f t="shared" si="65"/>
        <v>80.866092883415277</v>
      </c>
      <c r="AC112" s="855">
        <f t="shared" si="66"/>
        <v>0</v>
      </c>
      <c r="AD112" s="854">
        <f t="shared" si="67"/>
        <v>3566.7323082350513</v>
      </c>
      <c r="AE112" s="854">
        <f t="shared" si="68"/>
        <v>178.72418268121987</v>
      </c>
      <c r="AF112" s="856">
        <f t="shared" si="69"/>
        <v>119.14945512081324</v>
      </c>
      <c r="AG112" s="4"/>
      <c r="AH112" s="852">
        <f>'Recycling - Case 2'!AM202</f>
        <v>565.49715303087601</v>
      </c>
      <c r="AI112" s="853">
        <f>Parameters!S247</f>
        <v>0.71500000000000008</v>
      </c>
      <c r="AJ112" s="853">
        <f t="shared" si="70"/>
        <v>0.4</v>
      </c>
      <c r="AK112" s="854">
        <f t="shared" si="71"/>
        <v>80.866092883415277</v>
      </c>
      <c r="AL112" s="854">
        <f t="shared" si="72"/>
        <v>80.866092883415277</v>
      </c>
      <c r="AM112" s="855">
        <f t="shared" si="73"/>
        <v>0</v>
      </c>
      <c r="AN112" s="854">
        <f t="shared" si="74"/>
        <v>3566.7323082350513</v>
      </c>
      <c r="AO112" s="854">
        <f t="shared" si="75"/>
        <v>178.72418268121987</v>
      </c>
      <c r="AP112" s="856">
        <f t="shared" si="76"/>
        <v>119.14945512081324</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119.14945512081324</v>
      </c>
      <c r="BD112" s="1082">
        <f t="shared" si="90"/>
        <v>10.615730908057881</v>
      </c>
      <c r="BE112" s="1056">
        <f t="shared" si="54"/>
        <v>348.32347661850514</v>
      </c>
      <c r="BF112" s="167">
        <v>0</v>
      </c>
      <c r="BG112" s="1075">
        <f t="shared" si="83"/>
        <v>348.32347661850514</v>
      </c>
      <c r="BI112" s="1055">
        <f t="shared" si="84"/>
        <v>218.55829058963403</v>
      </c>
      <c r="BJ112" s="1056">
        <f t="shared" si="85"/>
        <v>119.14945512081324</v>
      </c>
      <c r="BK112" s="1082">
        <f t="shared" si="86"/>
        <v>10.615730908057881</v>
      </c>
      <c r="BL112" s="1056">
        <f t="shared" si="55"/>
        <v>348.32347661850514</v>
      </c>
      <c r="BM112" s="167">
        <v>0</v>
      </c>
      <c r="BN112" s="1075">
        <f t="shared" si="87"/>
        <v>348.32347661850514</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621.03308808122574</v>
      </c>
      <c r="Y113" s="853">
        <f>Parameters!S248</f>
        <v>0.71500000000000008</v>
      </c>
      <c r="Z113" s="853">
        <f t="shared" si="63"/>
        <v>0.4</v>
      </c>
      <c r="AA113" s="854">
        <f t="shared" si="64"/>
        <v>88.807731595615294</v>
      </c>
      <c r="AB113" s="854">
        <f t="shared" si="65"/>
        <v>88.807731595615294</v>
      </c>
      <c r="AC113" s="855">
        <f t="shared" si="66"/>
        <v>0</v>
      </c>
      <c r="AD113" s="854">
        <f t="shared" si="67"/>
        <v>3481.5884525061465</v>
      </c>
      <c r="AE113" s="854">
        <f t="shared" si="68"/>
        <v>173.95158732452015</v>
      </c>
      <c r="AF113" s="856">
        <f t="shared" si="69"/>
        <v>115.96772488301343</v>
      </c>
      <c r="AG113" s="4"/>
      <c r="AH113" s="852">
        <f>'Recycling - Case 2'!AM203</f>
        <v>621.03308808122574</v>
      </c>
      <c r="AI113" s="853">
        <f>Parameters!S248</f>
        <v>0.71500000000000008</v>
      </c>
      <c r="AJ113" s="853">
        <f t="shared" si="70"/>
        <v>0.4</v>
      </c>
      <c r="AK113" s="854">
        <f t="shared" si="71"/>
        <v>88.807731595615294</v>
      </c>
      <c r="AL113" s="854">
        <f t="shared" si="72"/>
        <v>88.807731595615294</v>
      </c>
      <c r="AM113" s="855">
        <f t="shared" si="73"/>
        <v>0</v>
      </c>
      <c r="AN113" s="854">
        <f t="shared" si="74"/>
        <v>3481.5884525061465</v>
      </c>
      <c r="AO113" s="854">
        <f t="shared" si="75"/>
        <v>173.95158732452015</v>
      </c>
      <c r="AP113" s="856">
        <f t="shared" si="76"/>
        <v>115.96772488301343</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115.96772488301343</v>
      </c>
      <c r="BD113" s="1082">
        <f t="shared" si="90"/>
        <v>10.785918118126029</v>
      </c>
      <c r="BE113" s="1056">
        <f t="shared" si="54"/>
        <v>338.62575269183196</v>
      </c>
      <c r="BF113" s="167">
        <v>0</v>
      </c>
      <c r="BG113" s="1075">
        <f t="shared" si="83"/>
        <v>338.62575269183196</v>
      </c>
      <c r="BI113" s="1055">
        <f t="shared" si="84"/>
        <v>211.87210969069255</v>
      </c>
      <c r="BJ113" s="1056">
        <f t="shared" si="85"/>
        <v>115.96772488301343</v>
      </c>
      <c r="BK113" s="1082">
        <f t="shared" si="86"/>
        <v>10.785918118126029</v>
      </c>
      <c r="BL113" s="1056">
        <f t="shared" si="55"/>
        <v>338.62575269183196</v>
      </c>
      <c r="BM113" s="167">
        <v>0</v>
      </c>
      <c r="BN113" s="1075">
        <f t="shared" si="87"/>
        <v>338.62575269183196</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677.16956710480747</v>
      </c>
      <c r="Y114" s="853">
        <f>Parameters!S249</f>
        <v>0.71500000000000008</v>
      </c>
      <c r="Z114" s="853">
        <f t="shared" si="63"/>
        <v>0.4</v>
      </c>
      <c r="AA114" s="854">
        <f t="shared" si="64"/>
        <v>96.835248095987481</v>
      </c>
      <c r="AB114" s="854">
        <f t="shared" si="65"/>
        <v>96.835248095987481</v>
      </c>
      <c r="AC114" s="855">
        <f t="shared" si="66"/>
        <v>0</v>
      </c>
      <c r="AD114" s="854">
        <f t="shared" si="67"/>
        <v>3408.6246281217409</v>
      </c>
      <c r="AE114" s="854">
        <f t="shared" si="68"/>
        <v>169.79907248039328</v>
      </c>
      <c r="AF114" s="856">
        <f t="shared" si="69"/>
        <v>113.19938165359552</v>
      </c>
      <c r="AG114" s="4"/>
      <c r="AH114" s="852">
        <f>'Recycling - Case 2'!AM204</f>
        <v>677.16956710480747</v>
      </c>
      <c r="AI114" s="853">
        <f>Parameters!S249</f>
        <v>0.71500000000000008</v>
      </c>
      <c r="AJ114" s="853">
        <f t="shared" si="70"/>
        <v>0.4</v>
      </c>
      <c r="AK114" s="854">
        <f t="shared" si="71"/>
        <v>96.835248095987481</v>
      </c>
      <c r="AL114" s="854">
        <f t="shared" si="72"/>
        <v>96.835248095987481</v>
      </c>
      <c r="AM114" s="855">
        <f t="shared" si="73"/>
        <v>0</v>
      </c>
      <c r="AN114" s="854">
        <f t="shared" si="74"/>
        <v>3408.6246281217409</v>
      </c>
      <c r="AO114" s="854">
        <f t="shared" si="75"/>
        <v>169.79907248039328</v>
      </c>
      <c r="AP114" s="856">
        <f t="shared" si="76"/>
        <v>113.19938165359552</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113.19938165359552</v>
      </c>
      <c r="BD114" s="1082">
        <f t="shared" si="90"/>
        <v>10.951091088817506</v>
      </c>
      <c r="BE114" s="1056">
        <f t="shared" si="54"/>
        <v>329.66734135305683</v>
      </c>
      <c r="BF114" s="167">
        <v>0</v>
      </c>
      <c r="BG114" s="1075">
        <f t="shared" si="83"/>
        <v>329.66734135305683</v>
      </c>
      <c r="BI114" s="1055">
        <f t="shared" si="84"/>
        <v>205.51686861064377</v>
      </c>
      <c r="BJ114" s="1056">
        <f t="shared" si="85"/>
        <v>113.19938165359552</v>
      </c>
      <c r="BK114" s="1082">
        <f t="shared" si="86"/>
        <v>10.951091088817506</v>
      </c>
      <c r="BL114" s="1056">
        <f t="shared" si="55"/>
        <v>329.66734135305683</v>
      </c>
      <c r="BM114" s="167">
        <v>0</v>
      </c>
      <c r="BN114" s="1075">
        <f t="shared" si="87"/>
        <v>329.66734135305683</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733.90632518446398</v>
      </c>
      <c r="Y115" s="853">
        <f>Parameters!S250</f>
        <v>0.71500000000000008</v>
      </c>
      <c r="Z115" s="853">
        <f t="shared" si="63"/>
        <v>0.4</v>
      </c>
      <c r="AA115" s="854">
        <f t="shared" si="64"/>
        <v>104.94860450137836</v>
      </c>
      <c r="AB115" s="854">
        <f t="shared" si="65"/>
        <v>104.94860450137836</v>
      </c>
      <c r="AC115" s="855">
        <f t="shared" si="66"/>
        <v>0</v>
      </c>
      <c r="AD115" s="854">
        <f t="shared" si="67"/>
        <v>3347.3326478485819</v>
      </c>
      <c r="AE115" s="854">
        <f t="shared" si="68"/>
        <v>166.24058477453698</v>
      </c>
      <c r="AF115" s="856">
        <f t="shared" si="69"/>
        <v>110.82705651635798</v>
      </c>
      <c r="AG115" s="4"/>
      <c r="AH115" s="852">
        <f>'Recycling - Case 2'!AM205</f>
        <v>733.90632518446398</v>
      </c>
      <c r="AI115" s="853">
        <f>Parameters!S250</f>
        <v>0.71500000000000008</v>
      </c>
      <c r="AJ115" s="853">
        <f t="shared" si="70"/>
        <v>0.4</v>
      </c>
      <c r="AK115" s="854">
        <f t="shared" si="71"/>
        <v>104.94860450137836</v>
      </c>
      <c r="AL115" s="854">
        <f t="shared" si="72"/>
        <v>104.94860450137836</v>
      </c>
      <c r="AM115" s="855">
        <f t="shared" si="73"/>
        <v>0</v>
      </c>
      <c r="AN115" s="854">
        <f t="shared" si="74"/>
        <v>3347.3326478485819</v>
      </c>
      <c r="AO115" s="854">
        <f t="shared" si="75"/>
        <v>166.24058477453698</v>
      </c>
      <c r="AP115" s="856">
        <f t="shared" si="76"/>
        <v>110.82705651635798</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110.82705651635798</v>
      </c>
      <c r="BD115" s="1082">
        <f t="shared" si="90"/>
        <v>11.111572239711137</v>
      </c>
      <c r="BE115" s="1056">
        <f t="shared" si="54"/>
        <v>321.4150072338731</v>
      </c>
      <c r="BF115" s="167">
        <v>0</v>
      </c>
      <c r="BG115" s="1075">
        <f t="shared" si="83"/>
        <v>321.4150072338731</v>
      </c>
      <c r="BI115" s="1055">
        <f t="shared" si="84"/>
        <v>199.47637847780393</v>
      </c>
      <c r="BJ115" s="1056">
        <f t="shared" si="85"/>
        <v>110.82705651635798</v>
      </c>
      <c r="BK115" s="1082">
        <f t="shared" si="86"/>
        <v>11.111572239711137</v>
      </c>
      <c r="BL115" s="1056">
        <f t="shared" si="55"/>
        <v>321.4150072338731</v>
      </c>
      <c r="BM115" s="167">
        <v>0</v>
      </c>
      <c r="BN115" s="1075">
        <f t="shared" si="87"/>
        <v>321.4150072338731</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745.61296990356493</v>
      </c>
      <c r="Y116" s="853">
        <f>Parameters!S251</f>
        <v>0.71500000000000008</v>
      </c>
      <c r="Z116" s="853">
        <f t="shared" si="63"/>
        <v>0.4</v>
      </c>
      <c r="AA116" s="854">
        <f t="shared" si="64"/>
        <v>106.62265469620981</v>
      </c>
      <c r="AB116" s="854">
        <f t="shared" si="65"/>
        <v>106.62265469620981</v>
      </c>
      <c r="AC116" s="855">
        <f t="shared" si="66"/>
        <v>0</v>
      </c>
      <c r="AD116" s="854">
        <f t="shared" si="67"/>
        <v>3290.7039629216674</v>
      </c>
      <c r="AE116" s="854">
        <f t="shared" si="68"/>
        <v>163.25133962312412</v>
      </c>
      <c r="AF116" s="856">
        <f t="shared" si="69"/>
        <v>108.83422641541608</v>
      </c>
      <c r="AG116" s="4"/>
      <c r="AH116" s="852">
        <f>'Recycling - Case 2'!AM206</f>
        <v>745.61296990356493</v>
      </c>
      <c r="AI116" s="853">
        <f>Parameters!S251</f>
        <v>0.71500000000000008</v>
      </c>
      <c r="AJ116" s="853">
        <f t="shared" si="70"/>
        <v>0.4</v>
      </c>
      <c r="AK116" s="854">
        <f t="shared" si="71"/>
        <v>106.62265469620981</v>
      </c>
      <c r="AL116" s="854">
        <f t="shared" si="72"/>
        <v>106.62265469620981</v>
      </c>
      <c r="AM116" s="855">
        <f t="shared" si="73"/>
        <v>0</v>
      </c>
      <c r="AN116" s="854">
        <f t="shared" si="74"/>
        <v>3290.7039629216674</v>
      </c>
      <c r="AO116" s="854">
        <f t="shared" si="75"/>
        <v>163.25133962312412</v>
      </c>
      <c r="AP116" s="856">
        <f t="shared" si="76"/>
        <v>108.83422641541608</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108.83422641541608</v>
      </c>
      <c r="BD116" s="1082">
        <f t="shared" si="90"/>
        <v>11.267665403024253</v>
      </c>
      <c r="BE116" s="1056">
        <f t="shared" si="54"/>
        <v>313.83713241993667</v>
      </c>
      <c r="BF116" s="167">
        <v>0</v>
      </c>
      <c r="BG116" s="1075">
        <f t="shared" si="83"/>
        <v>313.83713241993667</v>
      </c>
      <c r="BI116" s="1055">
        <f t="shared" si="84"/>
        <v>193.73524060149632</v>
      </c>
      <c r="BJ116" s="1056">
        <f t="shared" si="85"/>
        <v>108.83422641541608</v>
      </c>
      <c r="BK116" s="1082">
        <f t="shared" si="86"/>
        <v>11.267665403024253</v>
      </c>
      <c r="BL116" s="1056">
        <f t="shared" si="55"/>
        <v>313.83713241993667</v>
      </c>
      <c r="BM116" s="167">
        <v>0</v>
      </c>
      <c r="BN116" s="1075">
        <f t="shared" si="87"/>
        <v>313.83713241993667</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755.85229613314323</v>
      </c>
      <c r="Y117" s="853">
        <f>Parameters!S252</f>
        <v>0.71500000000000008</v>
      </c>
      <c r="Z117" s="853">
        <f t="shared" si="63"/>
        <v>0.4</v>
      </c>
      <c r="AA117" s="854">
        <f t="shared" si="64"/>
        <v>108.0868783470395</v>
      </c>
      <c r="AB117" s="854">
        <f t="shared" si="65"/>
        <v>108.0868783470395</v>
      </c>
      <c r="AC117" s="855">
        <f t="shared" si="66"/>
        <v>0</v>
      </c>
      <c r="AD117" s="854">
        <f t="shared" si="67"/>
        <v>3238.3013151992363</v>
      </c>
      <c r="AE117" s="854">
        <f t="shared" si="68"/>
        <v>160.48952606947077</v>
      </c>
      <c r="AF117" s="856">
        <f t="shared" si="69"/>
        <v>106.99301737964718</v>
      </c>
      <c r="AG117" s="4"/>
      <c r="AH117" s="852">
        <f>'Recycling - Case 2'!AM207</f>
        <v>755.85229613314323</v>
      </c>
      <c r="AI117" s="853">
        <f>Parameters!S252</f>
        <v>0.71500000000000008</v>
      </c>
      <c r="AJ117" s="853">
        <f t="shared" si="70"/>
        <v>0.4</v>
      </c>
      <c r="AK117" s="854">
        <f t="shared" si="71"/>
        <v>108.0868783470395</v>
      </c>
      <c r="AL117" s="854">
        <f t="shared" si="72"/>
        <v>108.0868783470395</v>
      </c>
      <c r="AM117" s="855">
        <f t="shared" si="73"/>
        <v>0</v>
      </c>
      <c r="AN117" s="854">
        <f t="shared" si="74"/>
        <v>3238.3013151992363</v>
      </c>
      <c r="AO117" s="854">
        <f t="shared" si="75"/>
        <v>160.48952606947077</v>
      </c>
      <c r="AP117" s="856">
        <f t="shared" si="76"/>
        <v>106.99301737964718</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106.99301737964718</v>
      </c>
      <c r="BD117" s="1082">
        <f t="shared" si="90"/>
        <v>11.418768517398904</v>
      </c>
      <c r="BE117" s="1056">
        <f t="shared" si="54"/>
        <v>306.68976120351226</v>
      </c>
      <c r="BF117" s="167">
        <v>0</v>
      </c>
      <c r="BG117" s="1075">
        <f t="shared" si="83"/>
        <v>306.68976120351226</v>
      </c>
      <c r="BI117" s="1055">
        <f t="shared" si="84"/>
        <v>188.27797530646615</v>
      </c>
      <c r="BJ117" s="1056">
        <f t="shared" si="85"/>
        <v>106.99301737964718</v>
      </c>
      <c r="BK117" s="1082">
        <f t="shared" si="86"/>
        <v>11.418768517398904</v>
      </c>
      <c r="BL117" s="1056">
        <f t="shared" si="55"/>
        <v>306.68976120351226</v>
      </c>
      <c r="BM117" s="167">
        <v>0</v>
      </c>
      <c r="BN117" s="1075">
        <f t="shared" si="87"/>
        <v>306.68976120351226</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766.1344188222148</v>
      </c>
      <c r="Y118" s="853">
        <f>Parameters!S253</f>
        <v>0.71500000000000008</v>
      </c>
      <c r="Z118" s="853">
        <f t="shared" si="63"/>
        <v>0.4</v>
      </c>
      <c r="AA118" s="854">
        <f t="shared" si="64"/>
        <v>109.55722189157673</v>
      </c>
      <c r="AB118" s="854">
        <f t="shared" si="65"/>
        <v>109.55722189157673</v>
      </c>
      <c r="AC118" s="855">
        <f t="shared" si="66"/>
        <v>0</v>
      </c>
      <c r="AD118" s="854">
        <f t="shared" si="67"/>
        <v>3189.9247183084517</v>
      </c>
      <c r="AE118" s="854">
        <f t="shared" si="68"/>
        <v>157.93381878236144</v>
      </c>
      <c r="AF118" s="856">
        <f t="shared" si="69"/>
        <v>105.2892125215743</v>
      </c>
      <c r="AG118" s="4"/>
      <c r="AH118" s="852">
        <f>'Recycling - Case 2'!AM208</f>
        <v>766.1344188222148</v>
      </c>
      <c r="AI118" s="853">
        <f>Parameters!S253</f>
        <v>0.71500000000000008</v>
      </c>
      <c r="AJ118" s="853">
        <f t="shared" si="70"/>
        <v>0.4</v>
      </c>
      <c r="AK118" s="854">
        <f t="shared" si="71"/>
        <v>109.55722189157673</v>
      </c>
      <c r="AL118" s="854">
        <f t="shared" si="72"/>
        <v>109.55722189157673</v>
      </c>
      <c r="AM118" s="855">
        <f t="shared" si="73"/>
        <v>0</v>
      </c>
      <c r="AN118" s="854">
        <f t="shared" si="74"/>
        <v>3189.9247183084517</v>
      </c>
      <c r="AO118" s="854">
        <f t="shared" si="75"/>
        <v>157.93381878236144</v>
      </c>
      <c r="AP118" s="856">
        <f t="shared" si="76"/>
        <v>105.2892125215743</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105.2892125215743</v>
      </c>
      <c r="BD118" s="1082">
        <f t="shared" si="90"/>
        <v>11.565193111063991</v>
      </c>
      <c r="BE118" s="1056">
        <f t="shared" si="54"/>
        <v>299.94511183352768</v>
      </c>
      <c r="BF118" s="167">
        <v>0</v>
      </c>
      <c r="BG118" s="1075">
        <f t="shared" si="83"/>
        <v>299.94511183352768</v>
      </c>
      <c r="BI118" s="1055">
        <f t="shared" si="84"/>
        <v>183.09070620088937</v>
      </c>
      <c r="BJ118" s="1056">
        <f t="shared" si="85"/>
        <v>105.2892125215743</v>
      </c>
      <c r="BK118" s="1082">
        <f t="shared" si="86"/>
        <v>11.565193111063991</v>
      </c>
      <c r="BL118" s="1056">
        <f t="shared" si="55"/>
        <v>299.94511183352768</v>
      </c>
      <c r="BM118" s="167">
        <v>0</v>
      </c>
      <c r="BN118" s="1075">
        <f t="shared" si="87"/>
        <v>299.94511183352768</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776.24804608304385</v>
      </c>
      <c r="Y119" s="853">
        <f>Parameters!S254</f>
        <v>0.71500000000000008</v>
      </c>
      <c r="Z119" s="853">
        <f t="shared" si="63"/>
        <v>0.4</v>
      </c>
      <c r="AA119" s="854">
        <f t="shared" si="64"/>
        <v>111.00347058987529</v>
      </c>
      <c r="AB119" s="854">
        <f t="shared" si="65"/>
        <v>111.00347058987529</v>
      </c>
      <c r="AC119" s="855">
        <f t="shared" si="66"/>
        <v>0</v>
      </c>
      <c r="AD119" s="854">
        <f t="shared" si="67"/>
        <v>3145.3537245870261</v>
      </c>
      <c r="AE119" s="854">
        <f t="shared" si="68"/>
        <v>155.57446431130091</v>
      </c>
      <c r="AF119" s="856">
        <f t="shared" si="69"/>
        <v>103.71630954086727</v>
      </c>
      <c r="AG119" s="4"/>
      <c r="AH119" s="852">
        <f>'Recycling - Case 2'!AM209</f>
        <v>776.24804608304385</v>
      </c>
      <c r="AI119" s="853">
        <f>Parameters!S254</f>
        <v>0.71500000000000008</v>
      </c>
      <c r="AJ119" s="853">
        <f t="shared" si="70"/>
        <v>0.4</v>
      </c>
      <c r="AK119" s="854">
        <f t="shared" si="71"/>
        <v>111.00347058987529</v>
      </c>
      <c r="AL119" s="854">
        <f t="shared" si="72"/>
        <v>111.00347058987529</v>
      </c>
      <c r="AM119" s="855">
        <f t="shared" si="73"/>
        <v>0</v>
      </c>
      <c r="AN119" s="854">
        <f t="shared" si="74"/>
        <v>3145.3537245870261</v>
      </c>
      <c r="AO119" s="854">
        <f t="shared" si="75"/>
        <v>155.57446431130091</v>
      </c>
      <c r="AP119" s="856">
        <f t="shared" si="76"/>
        <v>103.71630954086727</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103.71630954086727</v>
      </c>
      <c r="BD119" s="1082">
        <f t="shared" si="90"/>
        <v>11.70723267710305</v>
      </c>
      <c r="BE119" s="1056">
        <f t="shared" si="54"/>
        <v>293.58377621036448</v>
      </c>
      <c r="BF119" s="167">
        <v>0</v>
      </c>
      <c r="BG119" s="1075">
        <f t="shared" si="83"/>
        <v>293.58377621036448</v>
      </c>
      <c r="BI119" s="1055">
        <f t="shared" si="84"/>
        <v>178.16023399239415</v>
      </c>
      <c r="BJ119" s="1056">
        <f t="shared" si="85"/>
        <v>103.71630954086727</v>
      </c>
      <c r="BK119" s="1082">
        <f t="shared" si="86"/>
        <v>11.70723267710305</v>
      </c>
      <c r="BL119" s="1056">
        <f t="shared" si="55"/>
        <v>293.58377621036448</v>
      </c>
      <c r="BM119" s="167">
        <v>0</v>
      </c>
      <c r="BN119" s="1075">
        <f t="shared" si="87"/>
        <v>293.58377621036448</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786.31578735891821</v>
      </c>
      <c r="Y120" s="858">
        <f>Parameters!S255</f>
        <v>0.71500000000000008</v>
      </c>
      <c r="Z120" s="858">
        <f t="shared" si="63"/>
        <v>0.4</v>
      </c>
      <c r="AA120" s="859">
        <f t="shared" si="64"/>
        <v>112.44315759232532</v>
      </c>
      <c r="AB120" s="859">
        <f t="shared" si="65"/>
        <v>112.44315759232532</v>
      </c>
      <c r="AC120" s="860">
        <f t="shared" si="66"/>
        <v>0</v>
      </c>
      <c r="AD120" s="859">
        <f t="shared" si="67"/>
        <v>3104.3961708824195</v>
      </c>
      <c r="AE120" s="859">
        <f t="shared" si="68"/>
        <v>153.40071129693195</v>
      </c>
      <c r="AF120" s="861">
        <f t="shared" si="69"/>
        <v>102.2671408646213</v>
      </c>
      <c r="AG120" s="4"/>
      <c r="AH120" s="852">
        <f>'Recycling - Case 2'!AM210</f>
        <v>786.31578735891821</v>
      </c>
      <c r="AI120" s="858">
        <f>Parameters!S255</f>
        <v>0.71500000000000008</v>
      </c>
      <c r="AJ120" s="858">
        <f t="shared" si="70"/>
        <v>0.4</v>
      </c>
      <c r="AK120" s="859">
        <f t="shared" si="71"/>
        <v>112.44315759232532</v>
      </c>
      <c r="AL120" s="859">
        <f t="shared" si="72"/>
        <v>112.44315759232532</v>
      </c>
      <c r="AM120" s="860">
        <f t="shared" si="73"/>
        <v>0</v>
      </c>
      <c r="AN120" s="859">
        <f t="shared" si="74"/>
        <v>3104.3961708824195</v>
      </c>
      <c r="AO120" s="859">
        <f t="shared" si="75"/>
        <v>153.40071129693195</v>
      </c>
      <c r="AP120" s="861">
        <f t="shared" si="76"/>
        <v>102.2671408646213</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102.2671408646213</v>
      </c>
      <c r="BD120" s="1083">
        <f t="shared" si="90"/>
        <v>11.845163724284795</v>
      </c>
      <c r="BE120" s="1058">
        <f t="shared" si="54"/>
        <v>287.58630804970937</v>
      </c>
      <c r="BF120" s="1059">
        <v>0</v>
      </c>
      <c r="BG120" s="1076">
        <f t="shared" si="83"/>
        <v>287.58630804970937</v>
      </c>
      <c r="BI120" s="1057">
        <f t="shared" si="84"/>
        <v>173.47400346080323</v>
      </c>
      <c r="BJ120" s="1058">
        <f t="shared" si="85"/>
        <v>102.2671408646213</v>
      </c>
      <c r="BK120" s="1083">
        <f t="shared" si="86"/>
        <v>11.845163724284795</v>
      </c>
      <c r="BL120" s="1058">
        <f t="shared" si="55"/>
        <v>287.58630804970937</v>
      </c>
      <c r="BM120" s="1059">
        <v>0</v>
      </c>
      <c r="BN120" s="1076">
        <f t="shared" si="87"/>
        <v>287.58630804970937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0"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row>
    <row r="11" spans="1:66">
      <c r="A11" s="151" t="s">
        <v>259</v>
      </c>
      <c r="B11" s="108" t="s">
        <v>254</v>
      </c>
      <c r="C11" s="108">
        <f>Parameters!D102</f>
        <v>0.5</v>
      </c>
      <c r="D11" s="99">
        <f>Parameters!E102</f>
        <v>0.5</v>
      </c>
      <c r="E11" s="1173">
        <f>Parameters!F102</f>
        <v>0.5</v>
      </c>
      <c r="F11" s="104"/>
      <c r="G11" s="104"/>
    </row>
    <row r="12" spans="1:66">
      <c r="A12" s="151" t="s">
        <v>722</v>
      </c>
      <c r="B12" s="108">
        <v>2002</v>
      </c>
      <c r="C12" s="108"/>
      <c r="D12" s="1444">
        <f>'Waste Summary 2017 SASOW'!L29</f>
        <v>0.13527885904981399</v>
      </c>
      <c r="E12" s="1173"/>
      <c r="F12" s="104"/>
      <c r="G12" s="104"/>
      <c r="BB12" s="314" t="s">
        <v>659</v>
      </c>
      <c r="BI12" t="s">
        <v>655</v>
      </c>
    </row>
    <row r="13" spans="1:66">
      <c r="A13" s="151" t="s">
        <v>722</v>
      </c>
      <c r="B13" s="108">
        <v>2017</v>
      </c>
      <c r="C13" s="108"/>
      <c r="D13" s="1444">
        <f>'Waste Summary 2017 SASOW'!$L$25</f>
        <v>2.197312110627072E-2</v>
      </c>
      <c r="E13" s="130"/>
      <c r="F13" s="104"/>
      <c r="G13" s="104"/>
      <c r="X13" s="1" t="s">
        <v>659</v>
      </c>
      <c r="AH13" s="1" t="s">
        <v>655</v>
      </c>
    </row>
    <row r="14" spans="1:66" ht="15.75" thickBot="1">
      <c r="A14" s="152" t="s">
        <v>721</v>
      </c>
      <c r="B14" s="163"/>
      <c r="C14" s="163"/>
      <c r="D14" s="683">
        <f>'Waste Summary 2017 SASOW'!$L$26</f>
        <v>6.9875113374971584E-2</v>
      </c>
      <c r="E14" s="144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722</v>
      </c>
      <c r="X16" s="213" t="s">
        <v>719</v>
      </c>
      <c r="Y16" s="214" t="s">
        <v>22</v>
      </c>
      <c r="Z16" s="214" t="s">
        <v>236</v>
      </c>
      <c r="AA16" s="215" t="s">
        <v>237</v>
      </c>
      <c r="AB16" s="215" t="s">
        <v>238</v>
      </c>
      <c r="AC16" s="215" t="s">
        <v>239</v>
      </c>
      <c r="AD16" s="215" t="s">
        <v>240</v>
      </c>
      <c r="AE16" s="215" t="s">
        <v>241</v>
      </c>
      <c r="AF16" s="221" t="s">
        <v>300</v>
      </c>
      <c r="AG16" s="1762" t="s">
        <v>722</v>
      </c>
      <c r="AH16" s="213"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48">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7">
        <v>501</v>
      </c>
      <c r="AS70" s="888">
        <v>1</v>
      </c>
      <c r="AT70" s="888">
        <f t="shared" si="24"/>
        <v>0.05</v>
      </c>
      <c r="AU70" s="889">
        <f t="shared" si="25"/>
        <v>12.525</v>
      </c>
      <c r="AV70" s="889">
        <f t="shared" si="26"/>
        <v>12.525</v>
      </c>
      <c r="AW70" s="890">
        <f t="shared" si="27"/>
        <v>0</v>
      </c>
      <c r="AX70" s="889">
        <f t="shared" si="44"/>
        <v>12.525</v>
      </c>
      <c r="AY70" s="889">
        <f>AW70+AX69*(1-$E$8)</f>
        <v>0</v>
      </c>
      <c r="AZ70" s="1598">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49">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4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49">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4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49">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49">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880.94428889018752</v>
      </c>
      <c r="Y89" s="853">
        <f>Parameters!S259</f>
        <v>0.71500000000000008</v>
      </c>
      <c r="Z89" s="853">
        <f t="shared" si="63"/>
        <v>0.4</v>
      </c>
      <c r="AA89" s="854">
        <f t="shared" si="64"/>
        <v>125.97503331129684</v>
      </c>
      <c r="AB89" s="854">
        <f t="shared" si="65"/>
        <v>125.97503331129684</v>
      </c>
      <c r="AC89" s="855">
        <f t="shared" si="66"/>
        <v>0</v>
      </c>
      <c r="AD89" s="854">
        <f t="shared" si="67"/>
        <v>10191.987183679203</v>
      </c>
      <c r="AE89" s="854">
        <f t="shared" si="68"/>
        <v>516.09547908374179</v>
      </c>
      <c r="AF89" s="856">
        <f t="shared" si="69"/>
        <v>344.06365272249451</v>
      </c>
      <c r="AH89" s="852">
        <f>'Recycling - Case 3'!AM179</f>
        <v>880.94428889018752</v>
      </c>
      <c r="AI89" s="853">
        <f>Parameters!S259</f>
        <v>0.71500000000000008</v>
      </c>
      <c r="AJ89" s="853">
        <f t="shared" si="70"/>
        <v>0.4</v>
      </c>
      <c r="AK89" s="854">
        <f t="shared" si="71"/>
        <v>125.97503331129684</v>
      </c>
      <c r="AL89" s="854">
        <f t="shared" si="72"/>
        <v>125.97503331129684</v>
      </c>
      <c r="AM89" s="855">
        <f t="shared" si="73"/>
        <v>0</v>
      </c>
      <c r="AN89" s="854">
        <f t="shared" si="74"/>
        <v>10191.987183679203</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686.95010376176072</v>
      </c>
      <c r="Y90" s="853">
        <f>Parameters!S260</f>
        <v>0.71500000000000008</v>
      </c>
      <c r="Z90" s="853">
        <f t="shared" si="63"/>
        <v>0.4</v>
      </c>
      <c r="AA90" s="854">
        <f t="shared" si="64"/>
        <v>98.23386483793179</v>
      </c>
      <c r="AB90" s="854">
        <f t="shared" si="65"/>
        <v>98.23386483793179</v>
      </c>
      <c r="AC90" s="855">
        <f t="shared" si="66"/>
        <v>0</v>
      </c>
      <c r="AD90" s="854">
        <f t="shared" si="67"/>
        <v>9793.1519680877536</v>
      </c>
      <c r="AE90" s="854">
        <f t="shared" si="68"/>
        <v>497.0690804293817</v>
      </c>
      <c r="AF90" s="856">
        <f t="shared" si="69"/>
        <v>331.37938695292115</v>
      </c>
      <c r="AH90" s="852">
        <f>'Recycling - Case 3'!AM180</f>
        <v>686.95010376176072</v>
      </c>
      <c r="AI90" s="853">
        <f>Parameters!S260</f>
        <v>0.71500000000000008</v>
      </c>
      <c r="AJ90" s="853">
        <f t="shared" si="70"/>
        <v>0.4</v>
      </c>
      <c r="AK90" s="854">
        <f t="shared" si="71"/>
        <v>98.23386483793179</v>
      </c>
      <c r="AL90" s="854">
        <f t="shared" si="72"/>
        <v>98.23386483793179</v>
      </c>
      <c r="AM90" s="855">
        <f t="shared" si="73"/>
        <v>0</v>
      </c>
      <c r="AN90" s="854">
        <f t="shared" si="74"/>
        <v>9793.1519680877536</v>
      </c>
      <c r="AO90" s="854">
        <f t="shared" si="75"/>
        <v>497.0690804293817</v>
      </c>
      <c r="AP90" s="856">
        <f t="shared" si="76"/>
        <v>331.37938695292115</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331.37938695292115</v>
      </c>
      <c r="BD90" s="1082">
        <f t="shared" si="90"/>
        <v>5.8896729790712348</v>
      </c>
      <c r="BE90" s="1056">
        <f t="shared" si="54"/>
        <v>782.0418960841854</v>
      </c>
      <c r="BF90" s="167">
        <v>0</v>
      </c>
      <c r="BG90" s="1075">
        <f t="shared" si="83"/>
        <v>782.0418960841854</v>
      </c>
      <c r="BI90" s="1055">
        <f t="shared" si="84"/>
        <v>444.77283615219312</v>
      </c>
      <c r="BJ90" s="1056">
        <f t="shared" si="85"/>
        <v>331.37938695292115</v>
      </c>
      <c r="BK90" s="1082">
        <f t="shared" si="86"/>
        <v>5.8896729790712348</v>
      </c>
      <c r="BL90" s="1056">
        <f t="shared" si="55"/>
        <v>782.0418960841854</v>
      </c>
      <c r="BM90" s="167">
        <v>0</v>
      </c>
      <c r="BN90" s="1075">
        <f t="shared" si="87"/>
        <v>782.0418960841854</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86.333160761719043</v>
      </c>
      <c r="Y91" s="853">
        <f>Parameters!S261</f>
        <v>0.71500000000000008</v>
      </c>
      <c r="Z91" s="853">
        <f t="shared" si="63"/>
        <v>0.4</v>
      </c>
      <c r="AA91" s="854">
        <f t="shared" si="64"/>
        <v>12.345641988925825</v>
      </c>
      <c r="AB91" s="854">
        <f t="shared" si="65"/>
        <v>12.345641988925825</v>
      </c>
      <c r="AC91" s="855">
        <f t="shared" si="66"/>
        <v>0</v>
      </c>
      <c r="AD91" s="854">
        <f t="shared" si="67"/>
        <v>9327.8799526410749</v>
      </c>
      <c r="AE91" s="854">
        <f t="shared" si="68"/>
        <v>477.61765743560494</v>
      </c>
      <c r="AF91" s="856">
        <f t="shared" si="69"/>
        <v>318.41177162373663</v>
      </c>
      <c r="AG91" s="4"/>
      <c r="AH91" s="852">
        <f>'Recycling - Case 3'!AM181</f>
        <v>86.333160761719043</v>
      </c>
      <c r="AI91" s="853">
        <f>Parameters!S261</f>
        <v>0.71500000000000008</v>
      </c>
      <c r="AJ91" s="853">
        <f t="shared" si="70"/>
        <v>0.4</v>
      </c>
      <c r="AK91" s="854">
        <f t="shared" si="71"/>
        <v>12.345641988925825</v>
      </c>
      <c r="AL91" s="854">
        <f t="shared" si="72"/>
        <v>12.345641988925825</v>
      </c>
      <c r="AM91" s="855">
        <f t="shared" si="73"/>
        <v>0</v>
      </c>
      <c r="AN91" s="854">
        <f t="shared" si="74"/>
        <v>9327.8799526410749</v>
      </c>
      <c r="AO91" s="854">
        <f t="shared" si="75"/>
        <v>477.61765743560494</v>
      </c>
      <c r="AP91" s="856">
        <f t="shared" si="76"/>
        <v>318.41177162373663</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318.41177162373663</v>
      </c>
      <c r="BD91" s="1082">
        <f t="shared" si="90"/>
        <v>6.0896156751596058</v>
      </c>
      <c r="BE91" s="1056">
        <f t="shared" si="54"/>
        <v>760.94658072685638</v>
      </c>
      <c r="BF91" s="167">
        <v>0</v>
      </c>
      <c r="BG91" s="1075">
        <f t="shared" si="83"/>
        <v>760.94658072685638</v>
      </c>
      <c r="BI91" s="1055">
        <f t="shared" si="84"/>
        <v>436.44519342796008</v>
      </c>
      <c r="BJ91" s="1056">
        <f t="shared" si="85"/>
        <v>318.41177162373663</v>
      </c>
      <c r="BK91" s="1082">
        <f t="shared" si="86"/>
        <v>6.0896156751596058</v>
      </c>
      <c r="BL91" s="1056">
        <f t="shared" si="55"/>
        <v>760.94658072685638</v>
      </c>
      <c r="BM91" s="167">
        <v>0</v>
      </c>
      <c r="BN91" s="1075">
        <f t="shared" si="87"/>
        <v>760.94658072685638</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8872.9538791625164</v>
      </c>
      <c r="AE92" s="854">
        <f t="shared" si="68"/>
        <v>454.92607347855773</v>
      </c>
      <c r="AF92" s="856">
        <f t="shared" si="69"/>
        <v>303.28404898570517</v>
      </c>
      <c r="AG92" s="4"/>
      <c r="AH92" s="852">
        <f>'Recycling - Case 3'!AM182</f>
        <v>0</v>
      </c>
      <c r="AI92" s="853">
        <f>Parameters!S262</f>
        <v>0.71500000000000008</v>
      </c>
      <c r="AJ92" s="853">
        <f t="shared" si="70"/>
        <v>0.4</v>
      </c>
      <c r="AK92" s="854">
        <f t="shared" si="71"/>
        <v>0</v>
      </c>
      <c r="AL92" s="854">
        <f t="shared" si="72"/>
        <v>0</v>
      </c>
      <c r="AM92" s="855">
        <f t="shared" si="73"/>
        <v>0</v>
      </c>
      <c r="AN92" s="854">
        <f t="shared" si="74"/>
        <v>8872.9538791625164</v>
      </c>
      <c r="AO92" s="854">
        <f t="shared" si="75"/>
        <v>454.92607347855773</v>
      </c>
      <c r="AP92" s="856">
        <f t="shared" si="76"/>
        <v>303.28404898570517</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303.28404898570517</v>
      </c>
      <c r="BD92" s="1082">
        <f t="shared" si="90"/>
        <v>6.2951880347850775</v>
      </c>
      <c r="BE92" s="1056">
        <f t="shared" si="54"/>
        <v>734.97977606930203</v>
      </c>
      <c r="BF92" s="167">
        <v>0</v>
      </c>
      <c r="BG92" s="1075">
        <f t="shared" si="83"/>
        <v>734.97977606930203</v>
      </c>
      <c r="BI92" s="1055">
        <f t="shared" si="84"/>
        <v>425.40053904881188</v>
      </c>
      <c r="BJ92" s="1056">
        <f t="shared" si="85"/>
        <v>303.28404898570517</v>
      </c>
      <c r="BK92" s="1082">
        <f t="shared" si="86"/>
        <v>6.2951880347850775</v>
      </c>
      <c r="BL92" s="1056">
        <f t="shared" si="55"/>
        <v>734.97977606930203</v>
      </c>
      <c r="BM92" s="167">
        <v>0</v>
      </c>
      <c r="BN92" s="1075">
        <f t="shared" si="87"/>
        <v>734.97977606930203</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8440.2148120971378</v>
      </c>
      <c r="AE93" s="854">
        <f t="shared" si="68"/>
        <v>432.73906706537792</v>
      </c>
      <c r="AF93" s="856">
        <f t="shared" si="69"/>
        <v>288.49271137691863</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8440.2148120971378</v>
      </c>
      <c r="AO93" s="854">
        <f t="shared" si="75"/>
        <v>432.73906706537792</v>
      </c>
      <c r="AP93" s="856">
        <f t="shared" si="76"/>
        <v>288.49271137691863</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288.49271137691863</v>
      </c>
      <c r="BD93" s="1082">
        <f t="shared" si="90"/>
        <v>6.5063880104679086</v>
      </c>
      <c r="BE93" s="1056">
        <f t="shared" si="54"/>
        <v>707.38968973008696</v>
      </c>
      <c r="BF93" s="167">
        <v>0</v>
      </c>
      <c r="BG93" s="1075">
        <f t="shared" si="83"/>
        <v>707.38968973008696</v>
      </c>
      <c r="BI93" s="1055">
        <f t="shared" si="84"/>
        <v>412.39059034270036</v>
      </c>
      <c r="BJ93" s="1056">
        <f t="shared" si="85"/>
        <v>288.49271137691863</v>
      </c>
      <c r="BK93" s="1082">
        <f t="shared" si="86"/>
        <v>6.5063880104679086</v>
      </c>
      <c r="BL93" s="1056">
        <f t="shared" si="55"/>
        <v>707.38968973008696</v>
      </c>
      <c r="BM93" s="167">
        <v>0</v>
      </c>
      <c r="BN93" s="1075">
        <f t="shared" si="87"/>
        <v>707.38968973008696</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8028.5806783735625</v>
      </c>
      <c r="AE94" s="854">
        <f t="shared" si="68"/>
        <v>411.6341337235753</v>
      </c>
      <c r="AF94" s="856">
        <f t="shared" si="69"/>
        <v>274.42275581571687</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8028.5806783735625</v>
      </c>
      <c r="AO94" s="854">
        <f t="shared" si="75"/>
        <v>411.6341337235753</v>
      </c>
      <c r="AP94" s="856">
        <f t="shared" si="76"/>
        <v>274.42275581571687</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274.42275581571687</v>
      </c>
      <c r="BD94" s="1082">
        <f t="shared" si="90"/>
        <v>6.7232188865229467</v>
      </c>
      <c r="BE94" s="1056">
        <f t="shared" si="54"/>
        <v>680.9239180638391</v>
      </c>
      <c r="BF94" s="167">
        <v>0</v>
      </c>
      <c r="BG94" s="1075">
        <f t="shared" si="83"/>
        <v>680.9239180638391</v>
      </c>
      <c r="BI94" s="1055">
        <f t="shared" si="84"/>
        <v>399.77794336159923</v>
      </c>
      <c r="BJ94" s="1056">
        <f t="shared" si="85"/>
        <v>274.42275581571687</v>
      </c>
      <c r="BK94" s="1082">
        <f t="shared" si="86"/>
        <v>6.7232188865229467</v>
      </c>
      <c r="BL94" s="1056">
        <f t="shared" si="55"/>
        <v>680.9239180638391</v>
      </c>
      <c r="BM94" s="167">
        <v>0</v>
      </c>
      <c r="BN94" s="1075">
        <f t="shared" si="87"/>
        <v>680.9239180638391</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7637.0221782468361</v>
      </c>
      <c r="AE95" s="854">
        <f t="shared" si="68"/>
        <v>391.55850012672653</v>
      </c>
      <c r="AF95" s="856">
        <f t="shared" si="69"/>
        <v>261.03900008448437</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7637.0221782468361</v>
      </c>
      <c r="AO95" s="854">
        <f t="shared" si="75"/>
        <v>391.55850012672653</v>
      </c>
      <c r="AP95" s="856">
        <f t="shared" si="76"/>
        <v>261.03900008448437</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261.03900008448437</v>
      </c>
      <c r="BD95" s="1082">
        <f t="shared" si="90"/>
        <v>6.9456890454035438</v>
      </c>
      <c r="BE95" s="1056">
        <f t="shared" si="54"/>
        <v>655.50155890732412</v>
      </c>
      <c r="BF95" s="167">
        <v>0</v>
      </c>
      <c r="BG95" s="1075">
        <f t="shared" si="83"/>
        <v>655.50155890732412</v>
      </c>
      <c r="BI95" s="1055">
        <f t="shared" si="84"/>
        <v>387.51686977743617</v>
      </c>
      <c r="BJ95" s="1056">
        <f t="shared" si="85"/>
        <v>261.03900008448437</v>
      </c>
      <c r="BK95" s="1082">
        <f t="shared" si="86"/>
        <v>6.9456890454035438</v>
      </c>
      <c r="BL95" s="1056">
        <f t="shared" si="55"/>
        <v>655.50155890732412</v>
      </c>
      <c r="BM95" s="167">
        <v>0</v>
      </c>
      <c r="BN95" s="1075">
        <f t="shared" si="87"/>
        <v>655.50155890732412</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7264.5602115129277</v>
      </c>
      <c r="AE96" s="854">
        <f t="shared" si="68"/>
        <v>372.46196673390881</v>
      </c>
      <c r="AF96" s="856">
        <f t="shared" si="69"/>
        <v>248.30797782260586</v>
      </c>
      <c r="AG96" s="4"/>
      <c r="AH96" s="852">
        <f>'Recycling - Case 3'!AM186</f>
        <v>0</v>
      </c>
      <c r="AI96" s="853">
        <f>Parameters!S266</f>
        <v>0.71500000000000008</v>
      </c>
      <c r="AJ96" s="853">
        <f t="shared" si="70"/>
        <v>0.4</v>
      </c>
      <c r="AK96" s="854">
        <f t="shared" si="71"/>
        <v>0</v>
      </c>
      <c r="AL96" s="854">
        <f t="shared" si="72"/>
        <v>0</v>
      </c>
      <c r="AM96" s="855">
        <f t="shared" si="73"/>
        <v>0</v>
      </c>
      <c r="AN96" s="854">
        <f t="shared" si="74"/>
        <v>7264.5602115129277</v>
      </c>
      <c r="AO96" s="854">
        <f t="shared" si="75"/>
        <v>372.46196673390881</v>
      </c>
      <c r="AP96" s="856">
        <f t="shared" si="76"/>
        <v>248.30797782260586</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248.30797782260586</v>
      </c>
      <c r="BD96" s="1082">
        <f t="shared" si="90"/>
        <v>7.1738117487310715</v>
      </c>
      <c r="BE96" s="1056">
        <f t="shared" si="54"/>
        <v>631.04518202378813</v>
      </c>
      <c r="BF96" s="167">
        <v>0</v>
      </c>
      <c r="BG96" s="1075">
        <f t="shared" si="83"/>
        <v>631.04518202378813</v>
      </c>
      <c r="BI96" s="1055">
        <f t="shared" si="84"/>
        <v>375.56339245245118</v>
      </c>
      <c r="BJ96" s="1056">
        <f t="shared" si="85"/>
        <v>248.30797782260586</v>
      </c>
      <c r="BK96" s="1082">
        <f t="shared" si="86"/>
        <v>7.1738117487310715</v>
      </c>
      <c r="BL96" s="1056">
        <f t="shared" si="55"/>
        <v>631.04518202378813</v>
      </c>
      <c r="BM96" s="167">
        <v>0</v>
      </c>
      <c r="BN96" s="1075">
        <f t="shared" si="87"/>
        <v>631.04518202378813</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6910.2634292482271</v>
      </c>
      <c r="AE97" s="854">
        <f t="shared" si="68"/>
        <v>354.2967822647002</v>
      </c>
      <c r="AF97" s="856">
        <f t="shared" si="69"/>
        <v>236.19785484313346</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6910.2634292482271</v>
      </c>
      <c r="AO97" s="854">
        <f t="shared" si="75"/>
        <v>354.2967822647002</v>
      </c>
      <c r="AP97" s="856">
        <f t="shared" si="76"/>
        <v>236.19785484313346</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236.19785484313346</v>
      </c>
      <c r="BD97" s="1082">
        <f t="shared" si="90"/>
        <v>7.406530673442969</v>
      </c>
      <c r="BE97" s="1056">
        <f t="shared" si="54"/>
        <v>607.47684542019977</v>
      </c>
      <c r="BF97" s="167">
        <v>0</v>
      </c>
      <c r="BG97" s="1075">
        <f t="shared" si="83"/>
        <v>607.47684542019977</v>
      </c>
      <c r="BI97" s="1055">
        <f t="shared" si="84"/>
        <v>363.87245990362334</v>
      </c>
      <c r="BJ97" s="1056">
        <f t="shared" si="85"/>
        <v>236.19785484313346</v>
      </c>
      <c r="BK97" s="1082">
        <f t="shared" si="86"/>
        <v>7.406530673442969</v>
      </c>
      <c r="BL97" s="1056">
        <f t="shared" si="55"/>
        <v>607.47684542019977</v>
      </c>
      <c r="BM97" s="167">
        <v>0</v>
      </c>
      <c r="BN97" s="1075">
        <f t="shared" si="87"/>
        <v>607.47684542019977</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6573.2459049521212</v>
      </c>
      <c r="AE98" s="854">
        <f t="shared" si="68"/>
        <v>337.01752429610553</v>
      </c>
      <c r="AF98" s="856">
        <f t="shared" si="69"/>
        <v>224.67834953073702</v>
      </c>
      <c r="AG98" s="4"/>
      <c r="AH98" s="852">
        <f>'Recycling - Case 3'!AM188</f>
        <v>0</v>
      </c>
      <c r="AI98" s="853">
        <f>Parameters!S268</f>
        <v>0.71500000000000008</v>
      </c>
      <c r="AJ98" s="853">
        <f t="shared" si="70"/>
        <v>0.4</v>
      </c>
      <c r="AK98" s="854">
        <f t="shared" si="71"/>
        <v>0</v>
      </c>
      <c r="AL98" s="854">
        <f t="shared" si="72"/>
        <v>0</v>
      </c>
      <c r="AM98" s="855">
        <f t="shared" si="73"/>
        <v>0</v>
      </c>
      <c r="AN98" s="854">
        <f t="shared" si="74"/>
        <v>6573.2459049521212</v>
      </c>
      <c r="AO98" s="854">
        <f t="shared" si="75"/>
        <v>337.01752429610553</v>
      </c>
      <c r="AP98" s="856">
        <f t="shared" si="76"/>
        <v>224.67834953073702</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224.67834953073702</v>
      </c>
      <c r="BD98" s="1082">
        <f t="shared" si="90"/>
        <v>7.6438689532028823</v>
      </c>
      <c r="BE98" s="1056">
        <f t="shared" si="54"/>
        <v>584.72601977690169</v>
      </c>
      <c r="BF98" s="167">
        <v>0</v>
      </c>
      <c r="BG98" s="1075">
        <f t="shared" si="83"/>
        <v>584.72601977690169</v>
      </c>
      <c r="BI98" s="1055">
        <f t="shared" si="84"/>
        <v>352.40380129296187</v>
      </c>
      <c r="BJ98" s="1056">
        <f t="shared" si="85"/>
        <v>224.67834953073702</v>
      </c>
      <c r="BK98" s="1082">
        <f t="shared" si="86"/>
        <v>7.6438689532028823</v>
      </c>
      <c r="BL98" s="1056">
        <f t="shared" si="55"/>
        <v>584.72601977690169</v>
      </c>
      <c r="BM98" s="167">
        <v>0</v>
      </c>
      <c r="BN98" s="1075">
        <f t="shared" si="87"/>
        <v>584.72601977690169</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6252.6649192692812</v>
      </c>
      <c r="AE99" s="854">
        <f t="shared" si="68"/>
        <v>320.58098568283987</v>
      </c>
      <c r="AF99" s="856">
        <f t="shared" si="69"/>
        <v>213.72065712189325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6252.6649192692812</v>
      </c>
      <c r="AO99" s="854">
        <f t="shared" si="75"/>
        <v>320.58098568283987</v>
      </c>
      <c r="AP99" s="856">
        <f t="shared" si="76"/>
        <v>213.72065712189325</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213.72065712189325</v>
      </c>
      <c r="BD99" s="1082">
        <f t="shared" si="90"/>
        <v>7.8858523674915935</v>
      </c>
      <c r="BE99" s="1056">
        <f t="shared" si="54"/>
        <v>562.72511324229038</v>
      </c>
      <c r="BF99" s="167">
        <v>0</v>
      </c>
      <c r="BG99" s="1075">
        <f t="shared" si="83"/>
        <v>562.72511324229038</v>
      </c>
      <c r="BI99" s="1055">
        <f t="shared" si="84"/>
        <v>341.11860375290559</v>
      </c>
      <c r="BJ99" s="1056">
        <f t="shared" si="85"/>
        <v>213.72065712189325</v>
      </c>
      <c r="BK99" s="1082">
        <f t="shared" si="86"/>
        <v>7.8858523674915935</v>
      </c>
      <c r="BL99" s="1056">
        <f t="shared" si="55"/>
        <v>562.72511324229038</v>
      </c>
      <c r="BM99" s="167">
        <v>0</v>
      </c>
      <c r="BN99" s="1075">
        <f t="shared" si="87"/>
        <v>562.72511324229038</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5947.7188527523222</v>
      </c>
      <c r="AE100" s="854">
        <f t="shared" si="68"/>
        <v>304.94606651695938</v>
      </c>
      <c r="AF100" s="856">
        <f t="shared" si="69"/>
        <v>203.29737767797292</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5947.7188527523222</v>
      </c>
      <c r="AO100" s="854">
        <f t="shared" si="75"/>
        <v>304.94606651695938</v>
      </c>
      <c r="AP100" s="856">
        <f t="shared" si="76"/>
        <v>203.29737767797292</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203.29737767797292</v>
      </c>
      <c r="BD100" s="1082">
        <f t="shared" si="90"/>
        <v>8.1325092379672057</v>
      </c>
      <c r="BE100" s="1056">
        <f t="shared" si="54"/>
        <v>541.4093095933481</v>
      </c>
      <c r="BF100" s="167">
        <v>0</v>
      </c>
      <c r="BG100" s="1075">
        <f t="shared" si="83"/>
        <v>541.4093095933481</v>
      </c>
      <c r="BI100" s="1055">
        <f t="shared" si="84"/>
        <v>329.97942267740802</v>
      </c>
      <c r="BJ100" s="1056">
        <f t="shared" si="85"/>
        <v>203.29737767797292</v>
      </c>
      <c r="BK100" s="1082">
        <f t="shared" si="86"/>
        <v>8.1325092379672057</v>
      </c>
      <c r="BL100" s="1056">
        <f t="shared" si="55"/>
        <v>541.4093095933481</v>
      </c>
      <c r="BM100" s="167">
        <v>0</v>
      </c>
      <c r="BN100" s="1075">
        <f t="shared" si="87"/>
        <v>541.4093095933481</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5657.6451813956382</v>
      </c>
      <c r="AE101" s="854">
        <f t="shared" si="68"/>
        <v>290.07367135668375</v>
      </c>
      <c r="AF101" s="856">
        <f t="shared" si="69"/>
        <v>193.3824475711225</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5657.6451813956382</v>
      </c>
      <c r="AO101" s="854">
        <f t="shared" si="75"/>
        <v>290.07367135668375</v>
      </c>
      <c r="AP101" s="856">
        <f t="shared" si="76"/>
        <v>193.3824475711225</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193.3824475711225</v>
      </c>
      <c r="BD101" s="1082">
        <f t="shared" si="90"/>
        <v>8.3838703314670333</v>
      </c>
      <c r="BE101" s="1056">
        <f t="shared" si="54"/>
        <v>520.71641310489269</v>
      </c>
      <c r="BF101" s="167">
        <v>0</v>
      </c>
      <c r="BG101" s="1075">
        <f t="shared" si="83"/>
        <v>520.71641310489269</v>
      </c>
      <c r="BI101" s="1055">
        <f t="shared" si="84"/>
        <v>318.95009520230315</v>
      </c>
      <c r="BJ101" s="1056">
        <f t="shared" si="85"/>
        <v>193.3824475711225</v>
      </c>
      <c r="BK101" s="1082">
        <f t="shared" si="86"/>
        <v>8.3838703314670333</v>
      </c>
      <c r="BL101" s="1056">
        <f t="shared" si="55"/>
        <v>520.71641310489269</v>
      </c>
      <c r="BM101" s="167">
        <v>0</v>
      </c>
      <c r="BN101" s="1075">
        <f t="shared" si="87"/>
        <v>520.71641310489269</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5381.7185699282109</v>
      </c>
      <c r="AE102" s="854">
        <f t="shared" si="68"/>
        <v>275.92661146742751</v>
      </c>
      <c r="AF102" s="856">
        <f t="shared" si="69"/>
        <v>183.95107431161833</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5381.7185699282109</v>
      </c>
      <c r="AO102" s="854">
        <f t="shared" si="75"/>
        <v>275.92661146742751</v>
      </c>
      <c r="AP102" s="856">
        <f t="shared" si="76"/>
        <v>183.95107431161833</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183.95107431161833</v>
      </c>
      <c r="BD102" s="1082">
        <f t="shared" si="90"/>
        <v>8.6267803133731249</v>
      </c>
      <c r="BE102" s="1056">
        <f t="shared" si="54"/>
        <v>500.46112990148498</v>
      </c>
      <c r="BF102" s="167">
        <v>0</v>
      </c>
      <c r="BG102" s="1075">
        <f t="shared" si="83"/>
        <v>500.46112990148498</v>
      </c>
      <c r="BI102" s="1055">
        <f t="shared" si="84"/>
        <v>307.88327527649358</v>
      </c>
      <c r="BJ102" s="1056">
        <f t="shared" si="85"/>
        <v>183.95107431161833</v>
      </c>
      <c r="BK102" s="1082">
        <f t="shared" si="86"/>
        <v>8.6267803133731249</v>
      </c>
      <c r="BL102" s="1056">
        <f t="shared" si="55"/>
        <v>500.46112990148498</v>
      </c>
      <c r="BM102" s="167">
        <v>0</v>
      </c>
      <c r="BN102" s="1075">
        <f t="shared" si="87"/>
        <v>500.46112990148498</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5119.2490580976173</v>
      </c>
      <c r="AE103" s="854">
        <f t="shared" si="68"/>
        <v>262.46951183059321</v>
      </c>
      <c r="AF103" s="856">
        <f t="shared" si="69"/>
        <v>174.97967455372881</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5119.2490580976173</v>
      </c>
      <c r="AO103" s="854">
        <f t="shared" si="75"/>
        <v>262.46951183059321</v>
      </c>
      <c r="AP103" s="856">
        <f t="shared" si="76"/>
        <v>174.97967455372881</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174.97967455372881</v>
      </c>
      <c r="BD103" s="1082">
        <f t="shared" si="90"/>
        <v>8.8617841398112347</v>
      </c>
      <c r="BE103" s="1056">
        <f t="shared" si="54"/>
        <v>480.61981562722792</v>
      </c>
      <c r="BF103" s="167">
        <v>0</v>
      </c>
      <c r="BG103" s="1075">
        <f t="shared" si="83"/>
        <v>480.61981562722792</v>
      </c>
      <c r="BI103" s="1055">
        <f t="shared" si="84"/>
        <v>296.77835693368786</v>
      </c>
      <c r="BJ103" s="1056">
        <f t="shared" si="85"/>
        <v>174.97967455372881</v>
      </c>
      <c r="BK103" s="1082">
        <f t="shared" si="86"/>
        <v>8.8617841398112347</v>
      </c>
      <c r="BL103" s="1056">
        <f t="shared" si="55"/>
        <v>480.61981562722792</v>
      </c>
      <c r="BM103" s="167">
        <v>0</v>
      </c>
      <c r="BN103" s="1075">
        <f t="shared" si="87"/>
        <v>480.61981562722792</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4869.580335410019</v>
      </c>
      <c r="AE104" s="854">
        <f t="shared" si="68"/>
        <v>249.66872268759852</v>
      </c>
      <c r="AF104" s="856">
        <f t="shared" si="69"/>
        <v>166.44581512506568</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4869.580335410019</v>
      </c>
      <c r="AO104" s="854">
        <f t="shared" si="75"/>
        <v>249.66872268759852</v>
      </c>
      <c r="AP104" s="856">
        <f t="shared" si="76"/>
        <v>166.44581512506568</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166.44581512506568</v>
      </c>
      <c r="BD104" s="1082">
        <f t="shared" si="90"/>
        <v>9.0893954817570179</v>
      </c>
      <c r="BE104" s="1056">
        <f t="shared" si="54"/>
        <v>461.75776356131274</v>
      </c>
      <c r="BF104" s="167">
        <v>0</v>
      </c>
      <c r="BG104" s="1075">
        <f t="shared" si="83"/>
        <v>461.75776356131274</v>
      </c>
      <c r="BI104" s="1055">
        <f t="shared" si="84"/>
        <v>286.22255295449003</v>
      </c>
      <c r="BJ104" s="1056">
        <f t="shared" si="85"/>
        <v>166.44581512506568</v>
      </c>
      <c r="BK104" s="1082">
        <f t="shared" si="86"/>
        <v>9.0893954817570179</v>
      </c>
      <c r="BL104" s="1056">
        <f t="shared" si="55"/>
        <v>461.75776356131274</v>
      </c>
      <c r="BM104" s="167">
        <v>0</v>
      </c>
      <c r="BN104" s="1075">
        <f t="shared" si="87"/>
        <v>461.75776356131274</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4632.0881000120662</v>
      </c>
      <c r="AE105" s="854">
        <f t="shared" si="68"/>
        <v>237.4922353979527</v>
      </c>
      <c r="AF105" s="856">
        <f t="shared" si="69"/>
        <v>158.32815693196846</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4632.0881000120662</v>
      </c>
      <c r="AO105" s="854">
        <f t="shared" si="75"/>
        <v>237.4922353979527</v>
      </c>
      <c r="AP105" s="856">
        <f t="shared" si="76"/>
        <v>158.32815693196846</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158.32815693196846</v>
      </c>
      <c r="BD105" s="1082">
        <f t="shared" si="90"/>
        <v>9.3100985507870835</v>
      </c>
      <c r="BE105" s="1056">
        <f t="shared" si="54"/>
        <v>443.82723065829924</v>
      </c>
      <c r="BF105" s="167">
        <v>0</v>
      </c>
      <c r="BG105" s="1075">
        <f t="shared" si="83"/>
        <v>443.82723065829924</v>
      </c>
      <c r="BI105" s="1055">
        <f t="shared" si="84"/>
        <v>276.1889751755437</v>
      </c>
      <c r="BJ105" s="1056">
        <f t="shared" si="85"/>
        <v>158.32815693196846</v>
      </c>
      <c r="BK105" s="1082">
        <f t="shared" si="86"/>
        <v>9.3100985507870835</v>
      </c>
      <c r="BL105" s="1056">
        <f t="shared" si="55"/>
        <v>443.82723065829924</v>
      </c>
      <c r="BM105" s="167">
        <v>0</v>
      </c>
      <c r="BN105" s="1075">
        <f t="shared" si="87"/>
        <v>443.82723065829924</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9.9882043742214659</v>
      </c>
      <c r="Y106" s="853">
        <f>Parameters!S276</f>
        <v>0.71500000000000008</v>
      </c>
      <c r="Z106" s="853">
        <f t="shared" si="63"/>
        <v>0.4</v>
      </c>
      <c r="AA106" s="854">
        <f t="shared" si="64"/>
        <v>1.4283132255136699</v>
      </c>
      <c r="AB106" s="854">
        <f t="shared" si="65"/>
        <v>1.4283132255136699</v>
      </c>
      <c r="AC106" s="855">
        <f t="shared" si="66"/>
        <v>0</v>
      </c>
      <c r="AD106" s="854">
        <f t="shared" si="67"/>
        <v>4407.606810836598</v>
      </c>
      <c r="AE106" s="854">
        <f t="shared" si="68"/>
        <v>225.90960240098264</v>
      </c>
      <c r="AF106" s="856">
        <f t="shared" si="69"/>
        <v>150.60640160065509</v>
      </c>
      <c r="AG106" s="4"/>
      <c r="AH106" s="852">
        <f>'Recycling - Case 3'!AM196</f>
        <v>9.9882043742214659</v>
      </c>
      <c r="AI106" s="853">
        <f>Parameters!S276</f>
        <v>0.71500000000000008</v>
      </c>
      <c r="AJ106" s="853">
        <f t="shared" si="70"/>
        <v>0.4</v>
      </c>
      <c r="AK106" s="854">
        <f t="shared" si="71"/>
        <v>1.4283132255136699</v>
      </c>
      <c r="AL106" s="854">
        <f t="shared" si="72"/>
        <v>1.4283132255136699</v>
      </c>
      <c r="AM106" s="855">
        <f t="shared" si="73"/>
        <v>0</v>
      </c>
      <c r="AN106" s="854">
        <f t="shared" si="74"/>
        <v>4407.606810836598</v>
      </c>
      <c r="AO106" s="854">
        <f t="shared" si="75"/>
        <v>225.90960240098264</v>
      </c>
      <c r="AP106" s="856">
        <f t="shared" si="76"/>
        <v>150.60640160065509</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150.60640160065509</v>
      </c>
      <c r="BD106" s="1082">
        <f t="shared" si="90"/>
        <v>9.5243498185394007</v>
      </c>
      <c r="BE106" s="1056">
        <f t="shared" si="54"/>
        <v>426.78280023197681</v>
      </c>
      <c r="BF106" s="167">
        <v>0</v>
      </c>
      <c r="BG106" s="1075">
        <f t="shared" si="83"/>
        <v>426.78280023197681</v>
      </c>
      <c r="BI106" s="1055">
        <f t="shared" si="84"/>
        <v>266.65204881278231</v>
      </c>
      <c r="BJ106" s="1056">
        <f t="shared" si="85"/>
        <v>150.60640160065509</v>
      </c>
      <c r="BK106" s="1082">
        <f t="shared" si="86"/>
        <v>9.5243498185394007</v>
      </c>
      <c r="BL106" s="1056">
        <f t="shared" si="55"/>
        <v>426.78280023197681</v>
      </c>
      <c r="BM106" s="167">
        <v>0</v>
      </c>
      <c r="BN106" s="1075">
        <f t="shared" si="87"/>
        <v>426.78280023197681</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161.86338959728286</v>
      </c>
      <c r="Y107" s="853">
        <f>Parameters!S277</f>
        <v>0.71500000000000008</v>
      </c>
      <c r="Z107" s="853">
        <f t="shared" si="63"/>
        <v>0.4</v>
      </c>
      <c r="AA107" s="854">
        <f t="shared" si="64"/>
        <v>23.146464712411451</v>
      </c>
      <c r="AB107" s="854">
        <f t="shared" si="65"/>
        <v>23.146464712411451</v>
      </c>
      <c r="AC107" s="855">
        <f t="shared" si="66"/>
        <v>0</v>
      </c>
      <c r="AD107" s="854">
        <f t="shared" si="67"/>
        <v>4215.7917548099358</v>
      </c>
      <c r="AE107" s="854">
        <f t="shared" si="68"/>
        <v>214.96152073907342</v>
      </c>
      <c r="AF107" s="856">
        <f t="shared" si="69"/>
        <v>143.3076804927156</v>
      </c>
      <c r="AG107" s="4"/>
      <c r="AH107" s="852">
        <f>'Recycling - Case 3'!AM197</f>
        <v>161.86338959728286</v>
      </c>
      <c r="AI107" s="853">
        <f>Parameters!S277</f>
        <v>0.71500000000000008</v>
      </c>
      <c r="AJ107" s="853">
        <f t="shared" si="70"/>
        <v>0.4</v>
      </c>
      <c r="AK107" s="854">
        <f t="shared" si="71"/>
        <v>23.146464712411451</v>
      </c>
      <c r="AL107" s="854">
        <f t="shared" si="72"/>
        <v>23.146464712411451</v>
      </c>
      <c r="AM107" s="855">
        <f t="shared" si="73"/>
        <v>0</v>
      </c>
      <c r="AN107" s="854">
        <f t="shared" si="74"/>
        <v>4215.7917548099358</v>
      </c>
      <c r="AO107" s="854">
        <f t="shared" si="75"/>
        <v>214.96152073907342</v>
      </c>
      <c r="AP107" s="856">
        <f t="shared" si="76"/>
        <v>143.3076804927156</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143.3076804927156</v>
      </c>
      <c r="BD107" s="1082">
        <f t="shared" si="90"/>
        <v>9.7316620002878853</v>
      </c>
      <c r="BE107" s="1056">
        <f t="shared" si="54"/>
        <v>410.62577669983818</v>
      </c>
      <c r="BF107" s="167">
        <v>0</v>
      </c>
      <c r="BG107" s="1075">
        <f t="shared" si="83"/>
        <v>410.62577669983818</v>
      </c>
      <c r="BI107" s="1055">
        <f t="shared" si="84"/>
        <v>257.58643420683467</v>
      </c>
      <c r="BJ107" s="1056">
        <f t="shared" si="85"/>
        <v>143.3076804927156</v>
      </c>
      <c r="BK107" s="1082">
        <f t="shared" si="86"/>
        <v>9.7316620002878853</v>
      </c>
      <c r="BL107" s="1056">
        <f t="shared" si="55"/>
        <v>410.62577669983818</v>
      </c>
      <c r="BM107" s="167">
        <v>0</v>
      </c>
      <c r="BN107" s="1075">
        <f t="shared" si="87"/>
        <v>410.62577669983818</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258.50728365194686</v>
      </c>
      <c r="Y108" s="853">
        <f>Parameters!S278</f>
        <v>0.71500000000000008</v>
      </c>
      <c r="Z108" s="853">
        <f t="shared" si="63"/>
        <v>0.4</v>
      </c>
      <c r="AA108" s="854">
        <f t="shared" si="64"/>
        <v>36.966541562228407</v>
      </c>
      <c r="AB108" s="854">
        <f t="shared" si="65"/>
        <v>36.966541562228407</v>
      </c>
      <c r="AC108" s="855">
        <f t="shared" si="66"/>
        <v>0</v>
      </c>
      <c r="AD108" s="854">
        <f t="shared" si="67"/>
        <v>4047.1517063049391</v>
      </c>
      <c r="AE108" s="854">
        <f t="shared" si="68"/>
        <v>205.60659006722531</v>
      </c>
      <c r="AF108" s="856">
        <f t="shared" si="69"/>
        <v>137.07106004481687</v>
      </c>
      <c r="AG108" s="4"/>
      <c r="AH108" s="852">
        <f>'Recycling - Case 3'!AM198</f>
        <v>258.50728365194686</v>
      </c>
      <c r="AI108" s="853">
        <f>Parameters!S278</f>
        <v>0.71500000000000008</v>
      </c>
      <c r="AJ108" s="853">
        <f t="shared" si="70"/>
        <v>0.4</v>
      </c>
      <c r="AK108" s="854">
        <f t="shared" si="71"/>
        <v>36.966541562228407</v>
      </c>
      <c r="AL108" s="854">
        <f t="shared" si="72"/>
        <v>36.966541562228407</v>
      </c>
      <c r="AM108" s="855">
        <f t="shared" si="73"/>
        <v>0</v>
      </c>
      <c r="AN108" s="854">
        <f t="shared" si="74"/>
        <v>4047.1517063049391</v>
      </c>
      <c r="AO108" s="854">
        <f t="shared" si="75"/>
        <v>205.60659006722531</v>
      </c>
      <c r="AP108" s="856">
        <f t="shared" si="76"/>
        <v>137.07106004481687</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137.07106004481687</v>
      </c>
      <c r="BD108" s="1082">
        <f t="shared" si="90"/>
        <v>9.932479741041977</v>
      </c>
      <c r="BE108" s="1056">
        <f t="shared" si="54"/>
        <v>395.9726099379514</v>
      </c>
      <c r="BF108" s="167">
        <v>0</v>
      </c>
      <c r="BG108" s="1075">
        <f t="shared" si="83"/>
        <v>395.9726099379514</v>
      </c>
      <c r="BI108" s="1055">
        <f t="shared" si="84"/>
        <v>248.9690701520926</v>
      </c>
      <c r="BJ108" s="1056">
        <f t="shared" si="85"/>
        <v>137.07106004481687</v>
      </c>
      <c r="BK108" s="1082">
        <f t="shared" si="86"/>
        <v>9.932479741041977</v>
      </c>
      <c r="BL108" s="1056">
        <f t="shared" si="55"/>
        <v>395.9726099379514</v>
      </c>
      <c r="BM108" s="167">
        <v>0</v>
      </c>
      <c r="BN108" s="1075">
        <f t="shared" si="87"/>
        <v>395.9726099379514</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356.5958404200191</v>
      </c>
      <c r="Y109" s="853">
        <f>Parameters!S279</f>
        <v>0.71500000000000008</v>
      </c>
      <c r="Z109" s="853">
        <f t="shared" si="63"/>
        <v>0.4</v>
      </c>
      <c r="AA109" s="854">
        <f t="shared" si="64"/>
        <v>50.993205180062738</v>
      </c>
      <c r="AB109" s="854">
        <f t="shared" si="65"/>
        <v>50.993205180062738</v>
      </c>
      <c r="AC109" s="855">
        <f t="shared" si="66"/>
        <v>0</v>
      </c>
      <c r="AD109" s="854">
        <f t="shared" si="67"/>
        <v>3900.7629936355929</v>
      </c>
      <c r="AE109" s="854">
        <f t="shared" si="68"/>
        <v>197.38191784940912</v>
      </c>
      <c r="AF109" s="856">
        <f t="shared" si="69"/>
        <v>131.5879452329394</v>
      </c>
      <c r="AG109" s="4"/>
      <c r="AH109" s="852">
        <f>'Recycling - Case 3'!AM199</f>
        <v>356.5958404200191</v>
      </c>
      <c r="AI109" s="853">
        <f>Parameters!S279</f>
        <v>0.71500000000000008</v>
      </c>
      <c r="AJ109" s="853">
        <f t="shared" si="70"/>
        <v>0.4</v>
      </c>
      <c r="AK109" s="854">
        <f t="shared" si="71"/>
        <v>50.993205180062738</v>
      </c>
      <c r="AL109" s="854">
        <f t="shared" si="72"/>
        <v>50.993205180062738</v>
      </c>
      <c r="AM109" s="855">
        <f t="shared" si="73"/>
        <v>0</v>
      </c>
      <c r="AN109" s="854">
        <f t="shared" si="74"/>
        <v>3900.7629936355929</v>
      </c>
      <c r="AO109" s="854">
        <f t="shared" si="75"/>
        <v>197.38191784940912</v>
      </c>
      <c r="AP109" s="856">
        <f t="shared" si="76"/>
        <v>131.5879452329394</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131.5879452329394</v>
      </c>
      <c r="BD109" s="1082">
        <f t="shared" si="90"/>
        <v>10.127222088531289</v>
      </c>
      <c r="BE109" s="1056">
        <f t="shared" si="54"/>
        <v>382.4931886698829</v>
      </c>
      <c r="BF109" s="167">
        <v>0</v>
      </c>
      <c r="BG109" s="1075">
        <f t="shared" si="83"/>
        <v>382.4931886698829</v>
      </c>
      <c r="BI109" s="1055">
        <f t="shared" si="84"/>
        <v>240.77802134841218</v>
      </c>
      <c r="BJ109" s="1056">
        <f t="shared" si="85"/>
        <v>131.5879452329394</v>
      </c>
      <c r="BK109" s="1082">
        <f t="shared" si="86"/>
        <v>10.127222088531289</v>
      </c>
      <c r="BL109" s="1056">
        <f t="shared" si="55"/>
        <v>382.4931886698829</v>
      </c>
      <c r="BM109" s="167">
        <v>0</v>
      </c>
      <c r="BN109" s="1075">
        <f t="shared" si="87"/>
        <v>382.4931886698829</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455.99897565582518</v>
      </c>
      <c r="Y110" s="853">
        <f>Parameters!S280</f>
        <v>0.71500000000000008</v>
      </c>
      <c r="Z110" s="853">
        <f t="shared" si="63"/>
        <v>0.4</v>
      </c>
      <c r="AA110" s="854">
        <f t="shared" si="64"/>
        <v>65.207853518783011</v>
      </c>
      <c r="AB110" s="854">
        <f t="shared" si="65"/>
        <v>65.207853518783011</v>
      </c>
      <c r="AC110" s="855">
        <f t="shared" si="66"/>
        <v>0</v>
      </c>
      <c r="AD110" s="854">
        <f t="shared" si="67"/>
        <v>3775.7283910684505</v>
      </c>
      <c r="AE110" s="854">
        <f t="shared" si="68"/>
        <v>190.24245608592551</v>
      </c>
      <c r="AF110" s="856">
        <f t="shared" si="69"/>
        <v>126.82830405728367</v>
      </c>
      <c r="AG110" s="4"/>
      <c r="AH110" s="852">
        <f>'Recycling - Case 3'!AM200</f>
        <v>455.99897565582518</v>
      </c>
      <c r="AI110" s="853">
        <f>Parameters!S280</f>
        <v>0.71500000000000008</v>
      </c>
      <c r="AJ110" s="853">
        <f t="shared" si="70"/>
        <v>0.4</v>
      </c>
      <c r="AK110" s="854">
        <f t="shared" si="71"/>
        <v>65.207853518783011</v>
      </c>
      <c r="AL110" s="854">
        <f t="shared" si="72"/>
        <v>65.207853518783011</v>
      </c>
      <c r="AM110" s="855">
        <f t="shared" si="73"/>
        <v>0</v>
      </c>
      <c r="AN110" s="854">
        <f t="shared" si="74"/>
        <v>3775.7283910684505</v>
      </c>
      <c r="AO110" s="854">
        <f t="shared" si="75"/>
        <v>190.24245608592551</v>
      </c>
      <c r="AP110" s="856">
        <f t="shared" si="76"/>
        <v>126.82830405728367</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126.82830405728367</v>
      </c>
      <c r="BD110" s="1082">
        <f t="shared" si="90"/>
        <v>10.316283986048289</v>
      </c>
      <c r="BE110" s="1056">
        <f t="shared" si="54"/>
        <v>370.13701150852546</v>
      </c>
      <c r="BF110" s="167">
        <v>0</v>
      </c>
      <c r="BG110" s="1075">
        <f t="shared" si="83"/>
        <v>370.13701150852546</v>
      </c>
      <c r="BI110" s="1055">
        <f t="shared" si="84"/>
        <v>232.9924234651935</v>
      </c>
      <c r="BJ110" s="1056">
        <f t="shared" si="85"/>
        <v>126.82830405728367</v>
      </c>
      <c r="BK110" s="1082">
        <f t="shared" si="86"/>
        <v>10.316283986048289</v>
      </c>
      <c r="BL110" s="1056">
        <f t="shared" si="55"/>
        <v>370.13701150852546</v>
      </c>
      <c r="BM110" s="167">
        <v>0</v>
      </c>
      <c r="BN110" s="1075">
        <f t="shared" si="87"/>
        <v>370.13701150852546</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510.5346400406039</v>
      </c>
      <c r="Y111" s="853">
        <f>Parameters!S281</f>
        <v>0.71500000000000008</v>
      </c>
      <c r="Z111" s="853">
        <f t="shared" si="63"/>
        <v>0.4</v>
      </c>
      <c r="AA111" s="854">
        <f t="shared" si="64"/>
        <v>73.006453525806378</v>
      </c>
      <c r="AB111" s="854">
        <f t="shared" si="65"/>
        <v>73.006453525806378</v>
      </c>
      <c r="AC111" s="855">
        <f t="shared" si="66"/>
        <v>0</v>
      </c>
      <c r="AD111" s="854">
        <f t="shared" si="67"/>
        <v>3664.5903980328558</v>
      </c>
      <c r="AE111" s="854">
        <f t="shared" si="68"/>
        <v>184.14444656140145</v>
      </c>
      <c r="AF111" s="856">
        <f t="shared" si="69"/>
        <v>122.76296437426764</v>
      </c>
      <c r="AG111" s="4"/>
      <c r="AH111" s="852">
        <f>'Recycling - Case 3'!AM201</f>
        <v>510.5346400406039</v>
      </c>
      <c r="AI111" s="853">
        <f>Parameters!S281</f>
        <v>0.71500000000000008</v>
      </c>
      <c r="AJ111" s="853">
        <f t="shared" si="70"/>
        <v>0.4</v>
      </c>
      <c r="AK111" s="854">
        <f t="shared" si="71"/>
        <v>73.006453525806378</v>
      </c>
      <c r="AL111" s="854">
        <f t="shared" si="72"/>
        <v>73.006453525806378</v>
      </c>
      <c r="AM111" s="855">
        <f t="shared" si="73"/>
        <v>0</v>
      </c>
      <c r="AN111" s="854">
        <f t="shared" si="74"/>
        <v>3664.5903980328558</v>
      </c>
      <c r="AO111" s="854">
        <f t="shared" si="75"/>
        <v>184.14444656140145</v>
      </c>
      <c r="AP111" s="856">
        <f t="shared" si="76"/>
        <v>122.76296437426764</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122.76296437426764</v>
      </c>
      <c r="BD111" s="1082">
        <f t="shared" si="90"/>
        <v>10.500037678370473</v>
      </c>
      <c r="BE111" s="1056">
        <f t="shared" si="54"/>
        <v>358.85543293799697</v>
      </c>
      <c r="BF111" s="167">
        <v>0</v>
      </c>
      <c r="BG111" s="1075">
        <f t="shared" si="83"/>
        <v>358.85543293799697</v>
      </c>
      <c r="BI111" s="1055">
        <f t="shared" si="84"/>
        <v>225.59243088535888</v>
      </c>
      <c r="BJ111" s="1056">
        <f t="shared" si="85"/>
        <v>122.76296437426764</v>
      </c>
      <c r="BK111" s="1082">
        <f t="shared" si="86"/>
        <v>10.500037678370473</v>
      </c>
      <c r="BL111" s="1056">
        <f t="shared" si="55"/>
        <v>358.85543293799697</v>
      </c>
      <c r="BM111" s="167">
        <v>0</v>
      </c>
      <c r="BN111" s="1075">
        <f t="shared" si="87"/>
        <v>358.85543293799697</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565.49715303087601</v>
      </c>
      <c r="Y112" s="853">
        <f>Parameters!S282</f>
        <v>0.71500000000000008</v>
      </c>
      <c r="Z112" s="853">
        <f t="shared" si="63"/>
        <v>0.4</v>
      </c>
      <c r="AA112" s="854">
        <f t="shared" si="64"/>
        <v>80.866092883415277</v>
      </c>
      <c r="AB112" s="854">
        <f t="shared" si="65"/>
        <v>80.866092883415277</v>
      </c>
      <c r="AC112" s="855">
        <f t="shared" si="66"/>
        <v>0</v>
      </c>
      <c r="AD112" s="854">
        <f t="shared" si="67"/>
        <v>3566.7323082350513</v>
      </c>
      <c r="AE112" s="854">
        <f t="shared" si="68"/>
        <v>178.72418268121987</v>
      </c>
      <c r="AF112" s="856">
        <f t="shared" si="69"/>
        <v>119.14945512081324</v>
      </c>
      <c r="AG112" s="4"/>
      <c r="AH112" s="852">
        <f>'Recycling - Case 3'!AM202</f>
        <v>565.49715303087601</v>
      </c>
      <c r="AI112" s="853">
        <f>Parameters!S282</f>
        <v>0.71500000000000008</v>
      </c>
      <c r="AJ112" s="853">
        <f t="shared" si="70"/>
        <v>0.4</v>
      </c>
      <c r="AK112" s="854">
        <f t="shared" si="71"/>
        <v>80.866092883415277</v>
      </c>
      <c r="AL112" s="854">
        <f t="shared" si="72"/>
        <v>80.866092883415277</v>
      </c>
      <c r="AM112" s="855">
        <f t="shared" si="73"/>
        <v>0</v>
      </c>
      <c r="AN112" s="854">
        <f t="shared" si="74"/>
        <v>3566.7323082350513</v>
      </c>
      <c r="AO112" s="854">
        <f t="shared" si="75"/>
        <v>178.72418268121987</v>
      </c>
      <c r="AP112" s="856">
        <f t="shared" si="76"/>
        <v>119.14945512081324</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119.14945512081324</v>
      </c>
      <c r="BD112" s="1082">
        <f t="shared" si="90"/>
        <v>10.677963032492485</v>
      </c>
      <c r="BE112" s="1056">
        <f t="shared" si="54"/>
        <v>348.38570874293976</v>
      </c>
      <c r="BF112" s="167">
        <v>0</v>
      </c>
      <c r="BG112" s="1075">
        <f t="shared" si="83"/>
        <v>348.38570874293976</v>
      </c>
      <c r="BI112" s="1055">
        <f t="shared" si="84"/>
        <v>218.55829058963403</v>
      </c>
      <c r="BJ112" s="1056">
        <f t="shared" si="85"/>
        <v>119.14945512081324</v>
      </c>
      <c r="BK112" s="1082">
        <f t="shared" si="86"/>
        <v>10.677963032492485</v>
      </c>
      <c r="BL112" s="1056">
        <f t="shared" si="55"/>
        <v>348.38570874293976</v>
      </c>
      <c r="BM112" s="167">
        <v>0</v>
      </c>
      <c r="BN112" s="1075">
        <f t="shared" si="87"/>
        <v>348.38570874293976</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621.03308808122574</v>
      </c>
      <c r="Y113" s="853">
        <f>Parameters!S283</f>
        <v>0.71500000000000008</v>
      </c>
      <c r="Z113" s="853">
        <f t="shared" si="63"/>
        <v>0.4</v>
      </c>
      <c r="AA113" s="854">
        <f t="shared" si="64"/>
        <v>88.807731595615294</v>
      </c>
      <c r="AB113" s="854">
        <f t="shared" si="65"/>
        <v>88.807731595615294</v>
      </c>
      <c r="AC113" s="855">
        <f t="shared" si="66"/>
        <v>0</v>
      </c>
      <c r="AD113" s="854">
        <f t="shared" si="67"/>
        <v>3481.5884525061465</v>
      </c>
      <c r="AE113" s="854">
        <f t="shared" si="68"/>
        <v>173.95158732452015</v>
      </c>
      <c r="AF113" s="856">
        <f t="shared" si="69"/>
        <v>115.96772488301343</v>
      </c>
      <c r="AG113" s="4"/>
      <c r="AH113" s="852">
        <f>'Recycling - Case 3'!AM203</f>
        <v>621.03308808122574</v>
      </c>
      <c r="AI113" s="853">
        <f>Parameters!S283</f>
        <v>0.71500000000000008</v>
      </c>
      <c r="AJ113" s="853">
        <f t="shared" si="70"/>
        <v>0.4</v>
      </c>
      <c r="AK113" s="854">
        <f t="shared" si="71"/>
        <v>88.807731595615294</v>
      </c>
      <c r="AL113" s="854">
        <f t="shared" si="72"/>
        <v>88.807731595615294</v>
      </c>
      <c r="AM113" s="855">
        <f t="shared" si="73"/>
        <v>0</v>
      </c>
      <c r="AN113" s="854">
        <f t="shared" si="74"/>
        <v>3481.5884525061465</v>
      </c>
      <c r="AO113" s="854">
        <f t="shared" si="75"/>
        <v>173.95158732452015</v>
      </c>
      <c r="AP113" s="856">
        <f t="shared" si="76"/>
        <v>115.96772488301343</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115.96772488301343</v>
      </c>
      <c r="BD113" s="1082">
        <f t="shared" si="90"/>
        <v>10.850429728054918</v>
      </c>
      <c r="BE113" s="1056">
        <f t="shared" si="54"/>
        <v>338.69026430176086</v>
      </c>
      <c r="BF113" s="167">
        <v>0</v>
      </c>
      <c r="BG113" s="1075">
        <f t="shared" si="83"/>
        <v>338.69026430176086</v>
      </c>
      <c r="BI113" s="1055">
        <f t="shared" si="84"/>
        <v>211.87210969069255</v>
      </c>
      <c r="BJ113" s="1056">
        <f t="shared" si="85"/>
        <v>115.96772488301343</v>
      </c>
      <c r="BK113" s="1082">
        <f t="shared" si="86"/>
        <v>10.850429728054918</v>
      </c>
      <c r="BL113" s="1056">
        <f t="shared" si="55"/>
        <v>338.69026430176086</v>
      </c>
      <c r="BM113" s="167">
        <v>0</v>
      </c>
      <c r="BN113" s="1075">
        <f t="shared" si="87"/>
        <v>338.69026430176086</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677.16956710480747</v>
      </c>
      <c r="Y114" s="853">
        <f>Parameters!S284</f>
        <v>0.71500000000000008</v>
      </c>
      <c r="Z114" s="853">
        <f t="shared" si="63"/>
        <v>0.4</v>
      </c>
      <c r="AA114" s="854">
        <f t="shared" si="64"/>
        <v>96.835248095987481</v>
      </c>
      <c r="AB114" s="854">
        <f t="shared" si="65"/>
        <v>96.835248095987481</v>
      </c>
      <c r="AC114" s="855">
        <f t="shared" si="66"/>
        <v>0</v>
      </c>
      <c r="AD114" s="854">
        <f t="shared" si="67"/>
        <v>3408.6246281217409</v>
      </c>
      <c r="AE114" s="854">
        <f t="shared" si="68"/>
        <v>169.79907248039328</v>
      </c>
      <c r="AF114" s="856">
        <f t="shared" si="69"/>
        <v>113.19938165359552</v>
      </c>
      <c r="AG114" s="4"/>
      <c r="AH114" s="852">
        <f>'Recycling - Case 3'!AM204</f>
        <v>677.16956710480747</v>
      </c>
      <c r="AI114" s="853">
        <f>Parameters!S284</f>
        <v>0.71500000000000008</v>
      </c>
      <c r="AJ114" s="853">
        <f t="shared" si="70"/>
        <v>0.4</v>
      </c>
      <c r="AK114" s="854">
        <f t="shared" si="71"/>
        <v>96.835248095987481</v>
      </c>
      <c r="AL114" s="854">
        <f t="shared" si="72"/>
        <v>96.835248095987481</v>
      </c>
      <c r="AM114" s="855">
        <f t="shared" si="73"/>
        <v>0</v>
      </c>
      <c r="AN114" s="854">
        <f t="shared" si="74"/>
        <v>3408.6246281217409</v>
      </c>
      <c r="AO114" s="854">
        <f t="shared" si="75"/>
        <v>169.79907248039328</v>
      </c>
      <c r="AP114" s="856">
        <f t="shared" si="76"/>
        <v>113.19938165359552</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113.19938165359552</v>
      </c>
      <c r="BD114" s="1082">
        <f t="shared" si="90"/>
        <v>11.017786104197439</v>
      </c>
      <c r="BE114" s="1056">
        <f t="shared" si="54"/>
        <v>329.73403636843676</v>
      </c>
      <c r="BF114" s="167">
        <v>0</v>
      </c>
      <c r="BG114" s="1075">
        <f t="shared" si="83"/>
        <v>329.73403636843676</v>
      </c>
      <c r="BI114" s="1055">
        <f t="shared" si="84"/>
        <v>205.51686861064377</v>
      </c>
      <c r="BJ114" s="1056">
        <f t="shared" si="85"/>
        <v>113.19938165359552</v>
      </c>
      <c r="BK114" s="1082">
        <f t="shared" si="86"/>
        <v>11.017786104197439</v>
      </c>
      <c r="BL114" s="1056">
        <f t="shared" si="55"/>
        <v>329.73403636843676</v>
      </c>
      <c r="BM114" s="167">
        <v>0</v>
      </c>
      <c r="BN114" s="1075">
        <f t="shared" si="87"/>
        <v>329.73403636843676</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733.90632518446398</v>
      </c>
      <c r="Y115" s="853">
        <f>Parameters!S285</f>
        <v>0.71500000000000008</v>
      </c>
      <c r="Z115" s="853">
        <f t="shared" si="63"/>
        <v>0.4</v>
      </c>
      <c r="AA115" s="854">
        <f t="shared" si="64"/>
        <v>104.94860450137836</v>
      </c>
      <c r="AB115" s="854">
        <f t="shared" si="65"/>
        <v>104.94860450137836</v>
      </c>
      <c r="AC115" s="855">
        <f t="shared" si="66"/>
        <v>0</v>
      </c>
      <c r="AD115" s="854">
        <f t="shared" si="67"/>
        <v>3347.3326478485819</v>
      </c>
      <c r="AE115" s="854">
        <f t="shared" si="68"/>
        <v>166.24058477453698</v>
      </c>
      <c r="AF115" s="856">
        <f t="shared" si="69"/>
        <v>110.82705651635798</v>
      </c>
      <c r="AG115" s="4"/>
      <c r="AH115" s="852">
        <f>'Recycling - Case 3'!AM205</f>
        <v>733.90632518446398</v>
      </c>
      <c r="AI115" s="853">
        <f>Parameters!S285</f>
        <v>0.71500000000000008</v>
      </c>
      <c r="AJ115" s="853">
        <f t="shared" si="70"/>
        <v>0.4</v>
      </c>
      <c r="AK115" s="854">
        <f t="shared" si="71"/>
        <v>104.94860450137836</v>
      </c>
      <c r="AL115" s="854">
        <f t="shared" si="72"/>
        <v>104.94860450137836</v>
      </c>
      <c r="AM115" s="855">
        <f t="shared" si="73"/>
        <v>0</v>
      </c>
      <c r="AN115" s="854">
        <f t="shared" si="74"/>
        <v>3347.3326478485819</v>
      </c>
      <c r="AO115" s="854">
        <f t="shared" si="75"/>
        <v>166.24058477453698</v>
      </c>
      <c r="AP115" s="856">
        <f t="shared" si="76"/>
        <v>110.82705651635798</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110.82705651635798</v>
      </c>
      <c r="BD115" s="1082">
        <f t="shared" si="90"/>
        <v>11.180360403500279</v>
      </c>
      <c r="BE115" s="1056">
        <f t="shared" si="54"/>
        <v>321.48379539766222</v>
      </c>
      <c r="BF115" s="167">
        <v>0</v>
      </c>
      <c r="BG115" s="1075">
        <f t="shared" si="83"/>
        <v>321.48379539766222</v>
      </c>
      <c r="BI115" s="1055">
        <f t="shared" si="84"/>
        <v>199.47637847780393</v>
      </c>
      <c r="BJ115" s="1056">
        <f t="shared" si="85"/>
        <v>110.82705651635798</v>
      </c>
      <c r="BK115" s="1082">
        <f t="shared" si="86"/>
        <v>11.180360403500279</v>
      </c>
      <c r="BL115" s="1056">
        <f t="shared" si="55"/>
        <v>321.48379539766222</v>
      </c>
      <c r="BM115" s="167">
        <v>0</v>
      </c>
      <c r="BN115" s="1075">
        <f t="shared" si="87"/>
        <v>321.48379539766222</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745.61296990356493</v>
      </c>
      <c r="Y116" s="853">
        <f>Parameters!S286</f>
        <v>0.71500000000000008</v>
      </c>
      <c r="Z116" s="853">
        <f t="shared" si="63"/>
        <v>0.4</v>
      </c>
      <c r="AA116" s="854">
        <f t="shared" si="64"/>
        <v>106.62265469620981</v>
      </c>
      <c r="AB116" s="854">
        <f t="shared" si="65"/>
        <v>106.62265469620981</v>
      </c>
      <c r="AC116" s="855">
        <f t="shared" si="66"/>
        <v>0</v>
      </c>
      <c r="AD116" s="854">
        <f t="shared" si="67"/>
        <v>3290.7039629216674</v>
      </c>
      <c r="AE116" s="854">
        <f t="shared" si="68"/>
        <v>163.25133962312412</v>
      </c>
      <c r="AF116" s="856">
        <f t="shared" si="69"/>
        <v>108.83422641541608</v>
      </c>
      <c r="AG116" s="4"/>
      <c r="AH116" s="852">
        <f>'Recycling - Case 3'!AM206</f>
        <v>745.61296990356493</v>
      </c>
      <c r="AI116" s="853">
        <f>Parameters!S286</f>
        <v>0.71500000000000008</v>
      </c>
      <c r="AJ116" s="853">
        <f t="shared" si="70"/>
        <v>0.4</v>
      </c>
      <c r="AK116" s="854">
        <f t="shared" si="71"/>
        <v>106.62265469620981</v>
      </c>
      <c r="AL116" s="854">
        <f t="shared" si="72"/>
        <v>106.62265469620981</v>
      </c>
      <c r="AM116" s="855">
        <f t="shared" si="73"/>
        <v>0</v>
      </c>
      <c r="AN116" s="854">
        <f t="shared" si="74"/>
        <v>3290.7039629216674</v>
      </c>
      <c r="AO116" s="854">
        <f t="shared" si="75"/>
        <v>163.25133962312412</v>
      </c>
      <c r="AP116" s="856">
        <f t="shared" si="76"/>
        <v>108.83422641541608</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108.83422641541608</v>
      </c>
      <c r="BD116" s="1082">
        <f t="shared" si="90"/>
        <v>11.33846194349141</v>
      </c>
      <c r="BE116" s="1056">
        <f t="shared" si="54"/>
        <v>313.90792896040386</v>
      </c>
      <c r="BF116" s="167">
        <v>0</v>
      </c>
      <c r="BG116" s="1075">
        <f t="shared" si="83"/>
        <v>313.90792896040386</v>
      </c>
      <c r="BI116" s="1055">
        <f t="shared" si="84"/>
        <v>193.73524060149632</v>
      </c>
      <c r="BJ116" s="1056">
        <f t="shared" si="85"/>
        <v>108.83422641541608</v>
      </c>
      <c r="BK116" s="1082">
        <f t="shared" si="86"/>
        <v>11.33846194349141</v>
      </c>
      <c r="BL116" s="1056">
        <f t="shared" si="55"/>
        <v>313.90792896040386</v>
      </c>
      <c r="BM116" s="167">
        <v>0</v>
      </c>
      <c r="BN116" s="1075">
        <f t="shared" si="87"/>
        <v>313.90792896040386</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755.85229613314323</v>
      </c>
      <c r="Y117" s="853">
        <f>Parameters!S287</f>
        <v>0.71500000000000008</v>
      </c>
      <c r="Z117" s="853">
        <f t="shared" si="63"/>
        <v>0.4</v>
      </c>
      <c r="AA117" s="854">
        <f t="shared" si="64"/>
        <v>108.0868783470395</v>
      </c>
      <c r="AB117" s="854">
        <f t="shared" si="65"/>
        <v>108.0868783470395</v>
      </c>
      <c r="AC117" s="855">
        <f t="shared" si="66"/>
        <v>0</v>
      </c>
      <c r="AD117" s="854">
        <f t="shared" si="67"/>
        <v>3238.3013151992363</v>
      </c>
      <c r="AE117" s="854">
        <f t="shared" si="68"/>
        <v>160.48952606947077</v>
      </c>
      <c r="AF117" s="856">
        <f t="shared" si="69"/>
        <v>106.99301737964718</v>
      </c>
      <c r="AG117" s="4"/>
      <c r="AH117" s="852">
        <f>'Recycling - Case 3'!AM207</f>
        <v>755.85229613314323</v>
      </c>
      <c r="AI117" s="853">
        <f>Parameters!S287</f>
        <v>0.71500000000000008</v>
      </c>
      <c r="AJ117" s="853">
        <f t="shared" si="70"/>
        <v>0.4</v>
      </c>
      <c r="AK117" s="854">
        <f t="shared" si="71"/>
        <v>108.0868783470395</v>
      </c>
      <c r="AL117" s="854">
        <f t="shared" si="72"/>
        <v>108.0868783470395</v>
      </c>
      <c r="AM117" s="855">
        <f t="shared" si="73"/>
        <v>0</v>
      </c>
      <c r="AN117" s="854">
        <f t="shared" si="74"/>
        <v>3238.3013151992363</v>
      </c>
      <c r="AO117" s="854">
        <f t="shared" si="75"/>
        <v>160.48952606947077</v>
      </c>
      <c r="AP117" s="856">
        <f t="shared" si="76"/>
        <v>106.99301737964718</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106.99301737964718</v>
      </c>
      <c r="BD117" s="1082">
        <f t="shared" si="90"/>
        <v>11.491487177766681</v>
      </c>
      <c r="BE117" s="1056">
        <f t="shared" si="54"/>
        <v>306.76247986388</v>
      </c>
      <c r="BF117" s="167">
        <v>0</v>
      </c>
      <c r="BG117" s="1075">
        <f t="shared" si="83"/>
        <v>306.76247986388</v>
      </c>
      <c r="BI117" s="1055">
        <f t="shared" si="84"/>
        <v>188.27797530646615</v>
      </c>
      <c r="BJ117" s="1056">
        <f t="shared" si="85"/>
        <v>106.99301737964718</v>
      </c>
      <c r="BK117" s="1082">
        <f t="shared" si="86"/>
        <v>11.491487177766681</v>
      </c>
      <c r="BL117" s="1056">
        <f t="shared" si="55"/>
        <v>306.76247986388</v>
      </c>
      <c r="BM117" s="167">
        <v>0</v>
      </c>
      <c r="BN117" s="1075">
        <f t="shared" si="87"/>
        <v>306.76247986388</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766.1344188222148</v>
      </c>
      <c r="Y118" s="853">
        <f>Parameters!S288</f>
        <v>0.71500000000000008</v>
      </c>
      <c r="Z118" s="853">
        <f t="shared" si="63"/>
        <v>0.4</v>
      </c>
      <c r="AA118" s="854">
        <f t="shared" si="64"/>
        <v>109.55722189157673</v>
      </c>
      <c r="AB118" s="854">
        <f t="shared" si="65"/>
        <v>109.55722189157673</v>
      </c>
      <c r="AC118" s="855">
        <f t="shared" si="66"/>
        <v>0</v>
      </c>
      <c r="AD118" s="854">
        <f t="shared" si="67"/>
        <v>3189.9247183084517</v>
      </c>
      <c r="AE118" s="854">
        <f t="shared" si="68"/>
        <v>157.93381878236144</v>
      </c>
      <c r="AF118" s="856">
        <f t="shared" si="69"/>
        <v>105.2892125215743</v>
      </c>
      <c r="AG118" s="4"/>
      <c r="AH118" s="852">
        <f>'Recycling - Case 3'!AM208</f>
        <v>766.1344188222148</v>
      </c>
      <c r="AI118" s="853">
        <f>Parameters!S288</f>
        <v>0.71500000000000008</v>
      </c>
      <c r="AJ118" s="853">
        <f t="shared" si="70"/>
        <v>0.4</v>
      </c>
      <c r="AK118" s="854">
        <f t="shared" si="71"/>
        <v>109.55722189157673</v>
      </c>
      <c r="AL118" s="854">
        <f t="shared" si="72"/>
        <v>109.55722189157673</v>
      </c>
      <c r="AM118" s="855">
        <f t="shared" si="73"/>
        <v>0</v>
      </c>
      <c r="AN118" s="854">
        <f t="shared" si="74"/>
        <v>3189.9247183084517</v>
      </c>
      <c r="AO118" s="854">
        <f t="shared" si="75"/>
        <v>157.93381878236144</v>
      </c>
      <c r="AP118" s="856">
        <f t="shared" si="76"/>
        <v>105.2892125215743</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105.2892125215743</v>
      </c>
      <c r="BD118" s="1082">
        <f t="shared" si="90"/>
        <v>11.639752814487322</v>
      </c>
      <c r="BE118" s="1056">
        <f t="shared" si="54"/>
        <v>300.01967153695102</v>
      </c>
      <c r="BF118" s="167">
        <v>0</v>
      </c>
      <c r="BG118" s="1075">
        <f t="shared" si="83"/>
        <v>300.01967153695102</v>
      </c>
      <c r="BI118" s="1055">
        <f t="shared" si="84"/>
        <v>183.09070620088937</v>
      </c>
      <c r="BJ118" s="1056">
        <f t="shared" si="85"/>
        <v>105.2892125215743</v>
      </c>
      <c r="BK118" s="1082">
        <f t="shared" si="86"/>
        <v>11.639752814487322</v>
      </c>
      <c r="BL118" s="1056">
        <f t="shared" si="55"/>
        <v>300.01967153695102</v>
      </c>
      <c r="BM118" s="167">
        <v>0</v>
      </c>
      <c r="BN118" s="1075">
        <f t="shared" si="87"/>
        <v>300.01967153695102</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776.24804608304385</v>
      </c>
      <c r="Y119" s="853">
        <f>Parameters!S289</f>
        <v>0.71500000000000008</v>
      </c>
      <c r="Z119" s="853">
        <f t="shared" si="63"/>
        <v>0.4</v>
      </c>
      <c r="AA119" s="854">
        <f t="shared" si="64"/>
        <v>111.00347058987529</v>
      </c>
      <c r="AB119" s="854">
        <f t="shared" si="65"/>
        <v>111.00347058987529</v>
      </c>
      <c r="AC119" s="855">
        <f t="shared" si="66"/>
        <v>0</v>
      </c>
      <c r="AD119" s="854">
        <f t="shared" si="67"/>
        <v>3145.3537245870261</v>
      </c>
      <c r="AE119" s="854">
        <f t="shared" si="68"/>
        <v>155.57446431130091</v>
      </c>
      <c r="AF119" s="856">
        <f t="shared" si="69"/>
        <v>103.71630954086727</v>
      </c>
      <c r="AG119" s="4"/>
      <c r="AH119" s="852">
        <f>'Recycling - Case 3'!AM209</f>
        <v>776.24804608304385</v>
      </c>
      <c r="AI119" s="853">
        <f>Parameters!S289</f>
        <v>0.71500000000000008</v>
      </c>
      <c r="AJ119" s="853">
        <f t="shared" si="70"/>
        <v>0.4</v>
      </c>
      <c r="AK119" s="854">
        <f t="shared" si="71"/>
        <v>111.00347058987529</v>
      </c>
      <c r="AL119" s="854">
        <f t="shared" si="72"/>
        <v>111.00347058987529</v>
      </c>
      <c r="AM119" s="855">
        <f t="shared" si="73"/>
        <v>0</v>
      </c>
      <c r="AN119" s="854">
        <f t="shared" si="74"/>
        <v>3145.3537245870261</v>
      </c>
      <c r="AO119" s="854">
        <f t="shared" si="75"/>
        <v>155.57446431130091</v>
      </c>
      <c r="AP119" s="856">
        <f t="shared" si="76"/>
        <v>103.71630954086727</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103.71630954086727</v>
      </c>
      <c r="BD119" s="1082">
        <f t="shared" si="90"/>
        <v>11.783557225813501</v>
      </c>
      <c r="BE119" s="1056">
        <f t="shared" si="54"/>
        <v>293.66010075907496</v>
      </c>
      <c r="BF119" s="167">
        <v>0</v>
      </c>
      <c r="BG119" s="1075">
        <f t="shared" si="83"/>
        <v>293.66010075907496</v>
      </c>
      <c r="BI119" s="1055">
        <f t="shared" si="84"/>
        <v>178.16023399239415</v>
      </c>
      <c r="BJ119" s="1056">
        <f t="shared" si="85"/>
        <v>103.71630954086727</v>
      </c>
      <c r="BK119" s="1082">
        <f t="shared" si="86"/>
        <v>11.783557225813501</v>
      </c>
      <c r="BL119" s="1056">
        <f t="shared" si="55"/>
        <v>293.66010075907496</v>
      </c>
      <c r="BM119" s="167">
        <v>0</v>
      </c>
      <c r="BN119" s="1075">
        <f t="shared" si="87"/>
        <v>293.66010075907496</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786.31578735891821</v>
      </c>
      <c r="Y120" s="858">
        <f>Parameters!S290</f>
        <v>0.71500000000000008</v>
      </c>
      <c r="Z120" s="858">
        <f t="shared" si="63"/>
        <v>0.4</v>
      </c>
      <c r="AA120" s="859">
        <f>X120*Z120*Y120*$D$4</f>
        <v>112.44315759232532</v>
      </c>
      <c r="AB120" s="859">
        <f t="shared" si="65"/>
        <v>112.44315759232532</v>
      </c>
      <c r="AC120" s="860">
        <f t="shared" si="66"/>
        <v>0</v>
      </c>
      <c r="AD120" s="859">
        <f t="shared" si="67"/>
        <v>3104.3961708824195</v>
      </c>
      <c r="AE120" s="859">
        <f t="shared" si="68"/>
        <v>153.40071129693195</v>
      </c>
      <c r="AF120" s="861">
        <f t="shared" si="69"/>
        <v>102.2671408646213</v>
      </c>
      <c r="AG120" s="4"/>
      <c r="AH120" s="857">
        <f>'Recycling - Case 3'!AM210</f>
        <v>786.31578735891821</v>
      </c>
      <c r="AI120" s="858">
        <f>Parameters!S290</f>
        <v>0.71500000000000008</v>
      </c>
      <c r="AJ120" s="858">
        <f t="shared" si="70"/>
        <v>0.4</v>
      </c>
      <c r="AK120" s="859">
        <f t="shared" si="71"/>
        <v>112.44315759232532</v>
      </c>
      <c r="AL120" s="859">
        <f t="shared" si="72"/>
        <v>112.44315759232532</v>
      </c>
      <c r="AM120" s="860">
        <f t="shared" si="73"/>
        <v>0</v>
      </c>
      <c r="AN120" s="859">
        <f t="shared" si="74"/>
        <v>3104.3961708824195</v>
      </c>
      <c r="AO120" s="859">
        <f t="shared" si="75"/>
        <v>153.40071129693195</v>
      </c>
      <c r="AP120" s="861">
        <f t="shared" si="76"/>
        <v>102.2671408646213</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102.2671408646213</v>
      </c>
      <c r="BD120" s="1083">
        <f t="shared" si="90"/>
        <v>11.923181516259421</v>
      </c>
      <c r="BE120" s="1058">
        <f t="shared" si="54"/>
        <v>287.66432584168399</v>
      </c>
      <c r="BF120" s="1059">
        <v>0</v>
      </c>
      <c r="BG120" s="1076">
        <f t="shared" si="83"/>
        <v>287.66432584168399</v>
      </c>
      <c r="BI120" s="1057">
        <f t="shared" si="84"/>
        <v>173.47400346080323</v>
      </c>
      <c r="BJ120" s="1058">
        <f t="shared" si="85"/>
        <v>102.2671408646213</v>
      </c>
      <c r="BK120" s="1083">
        <f t="shared" si="86"/>
        <v>11.923181516259421</v>
      </c>
      <c r="BL120" s="1058">
        <f t="shared" si="55"/>
        <v>287.66432584168399</v>
      </c>
      <c r="BM120" s="1059">
        <v>0</v>
      </c>
      <c r="BN120" s="1076">
        <f t="shared" si="87"/>
        <v>287.66432584168399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88" t="s">
        <v>729</v>
      </c>
      <c r="B1" s="1189"/>
      <c r="C1" s="115"/>
      <c r="D1" s="115"/>
      <c r="E1" s="115"/>
      <c r="F1" s="116"/>
    </row>
    <row r="2" spans="1:23">
      <c r="A2" s="127"/>
      <c r="F2" s="130"/>
    </row>
    <row r="3" spans="1:23" ht="30">
      <c r="A3" s="157" t="s">
        <v>175</v>
      </c>
      <c r="C3" s="1190" t="s">
        <v>177</v>
      </c>
      <c r="D3" s="1190" t="s">
        <v>178</v>
      </c>
      <c r="E3" s="1191"/>
      <c r="F3" s="1108"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107" t="s">
        <v>182</v>
      </c>
      <c r="D8" s="1107" t="s">
        <v>182</v>
      </c>
      <c r="E8" s="163"/>
      <c r="F8" s="1978"/>
    </row>
    <row r="9" spans="1:23" ht="15.75" thickBot="1">
      <c r="C9" s="395"/>
      <c r="D9" s="395"/>
      <c r="F9" s="1191"/>
    </row>
    <row r="10" spans="1:23" ht="15.75" thickBot="1">
      <c r="B10" s="1989" t="s">
        <v>510</v>
      </c>
      <c r="C10" s="1990"/>
      <c r="D10" s="1990"/>
      <c r="E10" s="1990"/>
      <c r="F10" s="1990"/>
      <c r="G10" s="1990"/>
      <c r="H10" s="1990"/>
      <c r="I10" s="1990"/>
      <c r="J10" s="1991"/>
      <c r="K10" s="1986" t="s">
        <v>509</v>
      </c>
      <c r="L10" s="1987"/>
      <c r="M10" s="1987"/>
      <c r="N10" s="1987"/>
      <c r="O10" s="1987"/>
      <c r="P10" s="1987"/>
      <c r="Q10" s="1987"/>
      <c r="R10" s="1987"/>
      <c r="S10" s="1988"/>
      <c r="T10" s="1992" t="s">
        <v>511</v>
      </c>
      <c r="U10" s="1993"/>
      <c r="V10" s="1993"/>
      <c r="W10" s="1994"/>
    </row>
    <row r="11" spans="1:23" ht="28.9" customHeight="1">
      <c r="A11" s="1975" t="s">
        <v>217</v>
      </c>
      <c r="B11" s="774" t="s">
        <v>619</v>
      </c>
      <c r="C11" s="1979" t="s">
        <v>495</v>
      </c>
      <c r="D11" s="1980"/>
      <c r="E11" s="1979" t="s">
        <v>289</v>
      </c>
      <c r="F11" s="1980"/>
      <c r="G11" s="1979" t="s">
        <v>290</v>
      </c>
      <c r="H11" s="1983"/>
      <c r="I11" s="1981" t="s">
        <v>287</v>
      </c>
      <c r="J11" s="1982"/>
      <c r="K11" s="474" t="s">
        <v>507</v>
      </c>
      <c r="L11" s="1995" t="s">
        <v>495</v>
      </c>
      <c r="M11" s="1996"/>
      <c r="N11" s="1995" t="s">
        <v>289</v>
      </c>
      <c r="O11" s="1996"/>
      <c r="P11" s="1995" t="s">
        <v>290</v>
      </c>
      <c r="Q11" s="1997"/>
      <c r="R11" s="1998" t="s">
        <v>287</v>
      </c>
      <c r="S11" s="1999"/>
      <c r="T11" s="1984" t="s">
        <v>508</v>
      </c>
      <c r="U11" s="1985"/>
      <c r="V11" s="1984" t="s">
        <v>776</v>
      </c>
      <c r="W11" s="1985"/>
    </row>
    <row r="12" spans="1:23" ht="29.45" customHeight="1" thickBot="1">
      <c r="A12" s="1976"/>
      <c r="B12" s="473" t="s">
        <v>228</v>
      </c>
      <c r="C12" s="1621" t="s">
        <v>234</v>
      </c>
      <c r="D12" s="1622" t="s">
        <v>176</v>
      </c>
      <c r="E12" s="1621" t="s">
        <v>234</v>
      </c>
      <c r="F12" s="1622" t="s">
        <v>176</v>
      </c>
      <c r="G12" s="1621" t="s">
        <v>234</v>
      </c>
      <c r="H12" s="1623" t="s">
        <v>176</v>
      </c>
      <c r="I12" s="1624" t="s">
        <v>234</v>
      </c>
      <c r="J12" s="1625" t="s">
        <v>176</v>
      </c>
      <c r="K12" s="475" t="s">
        <v>228</v>
      </c>
      <c r="L12" s="475" t="s">
        <v>234</v>
      </c>
      <c r="M12" s="1615" t="s">
        <v>176</v>
      </c>
      <c r="N12" s="475" t="s">
        <v>234</v>
      </c>
      <c r="O12" s="1615" t="s">
        <v>176</v>
      </c>
      <c r="P12" s="475" t="s">
        <v>234</v>
      </c>
      <c r="Q12" s="1616" t="s">
        <v>176</v>
      </c>
      <c r="R12" s="1617" t="s">
        <v>234</v>
      </c>
      <c r="S12" s="1618" t="s">
        <v>176</v>
      </c>
      <c r="T12" s="1619" t="s">
        <v>234</v>
      </c>
      <c r="U12" s="1620" t="s">
        <v>176</v>
      </c>
      <c r="V12" s="1619" t="s">
        <v>234</v>
      </c>
      <c r="W12" s="1620" t="s">
        <v>176</v>
      </c>
    </row>
    <row r="13" spans="1:23" ht="14.45" hidden="1" customHeight="1">
      <c r="A13" s="123">
        <f>'Input data'!A50</f>
        <v>1950</v>
      </c>
      <c r="B13" s="1192"/>
      <c r="C13">
        <v>0</v>
      </c>
      <c r="D13">
        <v>0</v>
      </c>
      <c r="E13">
        <v>0</v>
      </c>
      <c r="F13">
        <v>0</v>
      </c>
      <c r="G13" s="178">
        <f>C13*$D$5*'Input data'!K50/1000-E13</f>
        <v>0</v>
      </c>
      <c r="H13" s="178">
        <f>D13*$D$4*'Input data'!K50/1000-F13</f>
        <v>0</v>
      </c>
      <c r="I13" s="178">
        <v>0</v>
      </c>
      <c r="J13" s="178">
        <f>D13*$D$7*'Input data'!K50/1000</f>
        <v>0</v>
      </c>
      <c r="K13" s="119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2"/>
      <c r="C14" t="e">
        <f>'Input data'!#REF!</f>
        <v>#REF!</v>
      </c>
      <c r="D14" t="e">
        <f>'Input data'!#REF!</f>
        <v>#REF!</v>
      </c>
      <c r="E14">
        <v>0</v>
      </c>
      <c r="F14">
        <v>0</v>
      </c>
      <c r="G14" s="178" t="e">
        <f>C14*$D$5*'Input data'!K51/1000-E14</f>
        <v>#REF!</v>
      </c>
      <c r="H14" s="178" t="e">
        <f>D14*$D$4*'Input data'!K51/1000-F14</f>
        <v>#REF!</v>
      </c>
      <c r="J14" s="178" t="e">
        <f>D14*$D$7*'Input data'!K51/1000</f>
        <v>#REF!</v>
      </c>
      <c r="K14" s="119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2"/>
      <c r="C15" t="e">
        <f>'Input data'!#REF!</f>
        <v>#REF!</v>
      </c>
      <c r="D15" t="e">
        <f>'Input data'!#REF!</f>
        <v>#REF!</v>
      </c>
      <c r="E15">
        <v>0</v>
      </c>
      <c r="F15">
        <v>0</v>
      </c>
      <c r="G15" s="178" t="e">
        <f>C15*$D$5*'Input data'!K52/1000-E15</f>
        <v>#REF!</v>
      </c>
      <c r="H15" s="178" t="e">
        <f>D15*$D$4*'Input data'!K52/1000-F15</f>
        <v>#REF!</v>
      </c>
      <c r="J15" s="178" t="e">
        <f>D15*$D$7*'Input data'!K52/1000</f>
        <v>#REF!</v>
      </c>
      <c r="K15" s="119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2"/>
      <c r="C16" t="e">
        <f>'Input data'!#REF!</f>
        <v>#REF!</v>
      </c>
      <c r="D16" t="e">
        <f>'Input data'!#REF!</f>
        <v>#REF!</v>
      </c>
      <c r="E16">
        <v>0</v>
      </c>
      <c r="F16">
        <v>0</v>
      </c>
      <c r="G16" s="178" t="e">
        <f>C16*$D$5*'Input data'!K53/1000-E16</f>
        <v>#REF!</v>
      </c>
      <c r="H16" s="178" t="e">
        <f>D16*$D$4*'Input data'!K53/1000-F16</f>
        <v>#REF!</v>
      </c>
      <c r="J16" s="178" t="e">
        <f>D16*$D$7*'Input data'!K53/1000</f>
        <v>#REF!</v>
      </c>
      <c r="K16" s="119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2"/>
      <c r="C17" t="e">
        <f>'Input data'!#REF!</f>
        <v>#REF!</v>
      </c>
      <c r="D17" t="e">
        <f>'Input data'!#REF!</f>
        <v>#REF!</v>
      </c>
      <c r="E17">
        <v>0</v>
      </c>
      <c r="F17">
        <v>0</v>
      </c>
      <c r="G17" s="178" t="e">
        <f>C17*$D$5*'Input data'!K54/1000-E17</f>
        <v>#REF!</v>
      </c>
      <c r="H17" s="178" t="e">
        <f>D17*$D$4*'Input data'!K54/1000-F17</f>
        <v>#REF!</v>
      </c>
      <c r="J17" s="178" t="e">
        <f>D17*$D$7*'Input data'!K54/1000</f>
        <v>#REF!</v>
      </c>
      <c r="K17" s="119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2"/>
      <c r="C18" t="e">
        <f>'Input data'!#REF!</f>
        <v>#REF!</v>
      </c>
      <c r="D18" t="e">
        <f>'Input data'!#REF!</f>
        <v>#REF!</v>
      </c>
      <c r="E18">
        <v>0</v>
      </c>
      <c r="F18">
        <v>0</v>
      </c>
      <c r="G18" s="178" t="e">
        <f>C18*$D$5*'Input data'!K55/1000-E18</f>
        <v>#REF!</v>
      </c>
      <c r="H18" s="178" t="e">
        <f>D18*$D$4*'Input data'!K55/1000-F18</f>
        <v>#REF!</v>
      </c>
      <c r="J18" s="178" t="e">
        <f>D18*$D$7*'Input data'!K55/1000</f>
        <v>#REF!</v>
      </c>
      <c r="K18" s="119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2"/>
      <c r="C19" t="e">
        <f>'Input data'!#REF!</f>
        <v>#REF!</v>
      </c>
      <c r="D19" t="e">
        <f>'Input data'!#REF!</f>
        <v>#REF!</v>
      </c>
      <c r="E19">
        <v>0</v>
      </c>
      <c r="F19">
        <v>0</v>
      </c>
      <c r="G19" s="178" t="e">
        <f>C19*$D$5*'Input data'!K56/1000-E19</f>
        <v>#REF!</v>
      </c>
      <c r="H19" s="178" t="e">
        <f>D19*$D$4*'Input data'!K56/1000-F19</f>
        <v>#REF!</v>
      </c>
      <c r="J19" s="178" t="e">
        <f>D19*$D$7*'Input data'!K56/1000</f>
        <v>#REF!</v>
      </c>
      <c r="K19" s="119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2"/>
      <c r="C20" t="e">
        <f>'Input data'!#REF!</f>
        <v>#REF!</v>
      </c>
      <c r="D20" t="e">
        <f>'Input data'!#REF!</f>
        <v>#REF!</v>
      </c>
      <c r="E20">
        <v>0</v>
      </c>
      <c r="F20">
        <v>0</v>
      </c>
      <c r="G20" s="178" t="e">
        <f>C20*$D$5*'Input data'!K57/1000-E20</f>
        <v>#REF!</v>
      </c>
      <c r="H20" s="178" t="e">
        <f>D20*$D$4*'Input data'!K57/1000-F20</f>
        <v>#REF!</v>
      </c>
      <c r="J20" s="178" t="e">
        <f>D20*$D$7*'Input data'!K57/1000</f>
        <v>#REF!</v>
      </c>
      <c r="K20" s="119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2"/>
      <c r="C21" t="e">
        <f>'Input data'!#REF!</f>
        <v>#REF!</v>
      </c>
      <c r="D21" t="e">
        <f>'Input data'!#REF!</f>
        <v>#REF!</v>
      </c>
      <c r="E21">
        <v>0</v>
      </c>
      <c r="F21">
        <v>0</v>
      </c>
      <c r="G21" s="178" t="e">
        <f>C21*$D$5*'Input data'!K58/1000-E21</f>
        <v>#REF!</v>
      </c>
      <c r="H21" s="178" t="e">
        <f>D21*$D$4*'Input data'!K58/1000-F21</f>
        <v>#REF!</v>
      </c>
      <c r="J21" s="178" t="e">
        <f>D21*$D$7*'Input data'!K58/1000</f>
        <v>#REF!</v>
      </c>
      <c r="K21" s="119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2"/>
      <c r="C22" t="e">
        <f>'Input data'!#REF!</f>
        <v>#REF!</v>
      </c>
      <c r="D22" t="e">
        <f>'Input data'!#REF!</f>
        <v>#REF!</v>
      </c>
      <c r="E22">
        <v>0</v>
      </c>
      <c r="F22">
        <v>0</v>
      </c>
      <c r="G22" s="178" t="e">
        <f>C22*$D$5*'Input data'!K59/1000-E22</f>
        <v>#REF!</v>
      </c>
      <c r="H22" s="178" t="e">
        <f>D22*$D$4*'Input data'!K59/1000-F22</f>
        <v>#REF!</v>
      </c>
      <c r="J22" s="178" t="e">
        <f>D22*$D$7*'Input data'!K59/1000</f>
        <v>#REF!</v>
      </c>
      <c r="K22" s="119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2"/>
      <c r="C23" t="e">
        <f>'Input data'!#REF!</f>
        <v>#REF!</v>
      </c>
      <c r="D23" t="e">
        <f>'Input data'!#REF!</f>
        <v>#REF!</v>
      </c>
      <c r="E23">
        <v>0</v>
      </c>
      <c r="F23">
        <v>0</v>
      </c>
      <c r="G23" s="178" t="e">
        <f>C23*$D$5*'Input data'!K60/1000-E23</f>
        <v>#REF!</v>
      </c>
      <c r="H23" s="178" t="e">
        <f>D23*$D$4*'Input data'!K60/1000-F23</f>
        <v>#REF!</v>
      </c>
      <c r="J23" s="178" t="e">
        <f>D23*$D$7*'Input data'!K60/1000</f>
        <v>#REF!</v>
      </c>
      <c r="K23" s="119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2"/>
      <c r="C24" t="e">
        <f>'Input data'!#REF!</f>
        <v>#REF!</v>
      </c>
      <c r="D24" t="e">
        <f>'Input data'!#REF!</f>
        <v>#REF!</v>
      </c>
      <c r="E24">
        <v>0</v>
      </c>
      <c r="F24">
        <v>0</v>
      </c>
      <c r="G24" s="178" t="e">
        <f>C24*$D$5*'Input data'!K61/1000-E24</f>
        <v>#REF!</v>
      </c>
      <c r="H24" s="178" t="e">
        <f>D24*$D$4*'Input data'!K61/1000-F24</f>
        <v>#REF!</v>
      </c>
      <c r="J24" s="178" t="e">
        <f>D24*$D$7*'Input data'!K61/1000</f>
        <v>#REF!</v>
      </c>
      <c r="K24" s="119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2"/>
      <c r="C25" t="e">
        <f>'Input data'!#REF!</f>
        <v>#REF!</v>
      </c>
      <c r="D25" t="e">
        <f>'Input data'!#REF!</f>
        <v>#REF!</v>
      </c>
      <c r="E25">
        <v>0</v>
      </c>
      <c r="F25">
        <v>0</v>
      </c>
      <c r="G25" s="178" t="e">
        <f>C25*$D$5*'Input data'!K62/1000-E25</f>
        <v>#REF!</v>
      </c>
      <c r="H25" s="178" t="e">
        <f>D25*$D$4*'Input data'!K62/1000-F25</f>
        <v>#REF!</v>
      </c>
      <c r="J25" s="178" t="e">
        <f>D25*$D$7*'Input data'!K62/1000</f>
        <v>#REF!</v>
      </c>
      <c r="K25" s="119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2"/>
      <c r="C26" t="e">
        <f>'Input data'!#REF!</f>
        <v>#REF!</v>
      </c>
      <c r="D26" t="e">
        <f>'Input data'!#REF!</f>
        <v>#REF!</v>
      </c>
      <c r="E26">
        <v>0</v>
      </c>
      <c r="F26">
        <v>0</v>
      </c>
      <c r="G26" s="178" t="e">
        <f>C26*$D$5*'Input data'!K63/1000-E26</f>
        <v>#REF!</v>
      </c>
      <c r="H26" s="178" t="e">
        <f>D26*$D$4*'Input data'!K63/1000-F26</f>
        <v>#REF!</v>
      </c>
      <c r="J26" s="178" t="e">
        <f>D26*$D$7*'Input data'!K63/1000</f>
        <v>#REF!</v>
      </c>
      <c r="K26" s="119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2"/>
      <c r="C27" t="e">
        <f>'Input data'!#REF!</f>
        <v>#REF!</v>
      </c>
      <c r="D27" t="e">
        <f>'Input data'!#REF!</f>
        <v>#REF!</v>
      </c>
      <c r="E27">
        <v>0</v>
      </c>
      <c r="F27">
        <v>0</v>
      </c>
      <c r="G27" s="178" t="e">
        <f>C27*$D$5*'Input data'!K64/1000-E27</f>
        <v>#REF!</v>
      </c>
      <c r="H27" s="178" t="e">
        <f>D27*$D$4*'Input data'!K64/1000-F27</f>
        <v>#REF!</v>
      </c>
      <c r="J27" s="178" t="e">
        <f>D27*$D$7*'Input data'!K64/1000</f>
        <v>#REF!</v>
      </c>
      <c r="K27" s="119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2"/>
      <c r="C28" t="e">
        <f>'Input data'!#REF!</f>
        <v>#REF!</v>
      </c>
      <c r="D28" t="e">
        <f>'Input data'!#REF!</f>
        <v>#REF!</v>
      </c>
      <c r="E28">
        <v>0</v>
      </c>
      <c r="F28">
        <v>0</v>
      </c>
      <c r="G28" s="178" t="e">
        <f>C28*$D$5*'Input data'!K65/1000-E28</f>
        <v>#REF!</v>
      </c>
      <c r="H28" s="178" t="e">
        <f>D28*$D$4*'Input data'!K65/1000-F28</f>
        <v>#REF!</v>
      </c>
      <c r="J28" s="178" t="e">
        <f>D28*$D$7*'Input data'!K65/1000</f>
        <v>#REF!</v>
      </c>
      <c r="K28" s="119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2"/>
      <c r="C29" t="e">
        <f>'Input data'!#REF!</f>
        <v>#REF!</v>
      </c>
      <c r="D29" t="e">
        <f>'Input data'!#REF!</f>
        <v>#REF!</v>
      </c>
      <c r="E29">
        <v>0</v>
      </c>
      <c r="F29">
        <v>0</v>
      </c>
      <c r="G29" s="178" t="e">
        <f>C29*$D$5*'Input data'!K66/1000-E29</f>
        <v>#REF!</v>
      </c>
      <c r="H29" s="178" t="e">
        <f>D29*$D$4*'Input data'!K66/1000-F29</f>
        <v>#REF!</v>
      </c>
      <c r="J29" s="178" t="e">
        <f>D29*$D$7*'Input data'!K66/1000</f>
        <v>#REF!</v>
      </c>
      <c r="K29" s="119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2"/>
      <c r="C30" t="e">
        <f>'Input data'!#REF!</f>
        <v>#REF!</v>
      </c>
      <c r="D30" t="e">
        <f>'Input data'!#REF!</f>
        <v>#REF!</v>
      </c>
      <c r="E30">
        <v>0</v>
      </c>
      <c r="F30">
        <v>0</v>
      </c>
      <c r="G30" s="178" t="e">
        <f>C30*$D$5*'Input data'!K67/1000-E30</f>
        <v>#REF!</v>
      </c>
      <c r="H30" s="178" t="e">
        <f>D30*$D$4*'Input data'!K67/1000-F30</f>
        <v>#REF!</v>
      </c>
      <c r="J30" s="178" t="e">
        <f>D30*$D$7*'Input data'!K67/1000</f>
        <v>#REF!</v>
      </c>
      <c r="K30" s="119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2"/>
      <c r="C31" t="e">
        <f>'Input data'!#REF!</f>
        <v>#REF!</v>
      </c>
      <c r="D31" t="e">
        <f>'Input data'!#REF!</f>
        <v>#REF!</v>
      </c>
      <c r="E31">
        <v>0</v>
      </c>
      <c r="F31">
        <v>0</v>
      </c>
      <c r="G31" s="178" t="e">
        <f>C31*$D$5*'Input data'!K68/1000-E31</f>
        <v>#REF!</v>
      </c>
      <c r="H31" s="178" t="e">
        <f>D31*$D$4*'Input data'!K68/1000-F31</f>
        <v>#REF!</v>
      </c>
      <c r="J31" s="178" t="e">
        <f>D31*$D$7*'Input data'!K68/1000</f>
        <v>#REF!</v>
      </c>
      <c r="K31" s="119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2"/>
      <c r="C32" t="e">
        <f>'Input data'!#REF!</f>
        <v>#REF!</v>
      </c>
      <c r="D32" t="e">
        <f>'Input data'!#REF!</f>
        <v>#REF!</v>
      </c>
      <c r="E32">
        <v>0</v>
      </c>
      <c r="F32">
        <v>0</v>
      </c>
      <c r="G32" s="178" t="e">
        <f>C32*$D$5*'Input data'!K69/1000-E32</f>
        <v>#REF!</v>
      </c>
      <c r="H32" s="178" t="e">
        <f>D32*$D$4*'Input data'!K69/1000-F32</f>
        <v>#REF!</v>
      </c>
      <c r="J32" s="178" t="e">
        <f>D32*$D$7*'Input data'!K69/1000</f>
        <v>#REF!</v>
      </c>
      <c r="K32" s="119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2"/>
      <c r="C33" t="e">
        <f>'Input data'!#REF!</f>
        <v>#REF!</v>
      </c>
      <c r="D33" t="e">
        <f>'Input data'!#REF!</f>
        <v>#REF!</v>
      </c>
      <c r="E33">
        <v>0</v>
      </c>
      <c r="F33">
        <v>0</v>
      </c>
      <c r="G33" s="178" t="e">
        <f>C33*$D$5*'Input data'!K70/1000-E33</f>
        <v>#REF!</v>
      </c>
      <c r="H33" s="178" t="e">
        <f>D33*$D$4*'Input data'!K70/1000-F33</f>
        <v>#REF!</v>
      </c>
      <c r="J33" s="178" t="e">
        <f>D33*$D$7*'Input data'!K70/1000</f>
        <v>#REF!</v>
      </c>
      <c r="K33" s="119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2"/>
      <c r="C34" t="e">
        <f>'Input data'!#REF!</f>
        <v>#REF!</v>
      </c>
      <c r="D34" t="e">
        <f>'Input data'!#REF!</f>
        <v>#REF!</v>
      </c>
      <c r="E34">
        <v>0</v>
      </c>
      <c r="F34">
        <v>0</v>
      </c>
      <c r="G34" s="178" t="e">
        <f>C34*$D$5*'Input data'!K71/1000-E34</f>
        <v>#REF!</v>
      </c>
      <c r="H34" s="178" t="e">
        <f>D34*$D$4*'Input data'!K71/1000-F34</f>
        <v>#REF!</v>
      </c>
      <c r="J34" s="178" t="e">
        <f>D34*$D$7*'Input data'!K71/1000</f>
        <v>#REF!</v>
      </c>
      <c r="K34" s="119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2"/>
      <c r="C35" t="e">
        <f>'Input data'!#REF!</f>
        <v>#REF!</v>
      </c>
      <c r="D35" t="e">
        <f>'Input data'!#REF!</f>
        <v>#REF!</v>
      </c>
      <c r="E35">
        <v>0</v>
      </c>
      <c r="F35">
        <v>0</v>
      </c>
      <c r="G35" s="178" t="e">
        <f>C35*$D$5*'Input data'!K72/1000-E35</f>
        <v>#REF!</v>
      </c>
      <c r="H35" s="178" t="e">
        <f>D35*$D$4*'Input data'!K72/1000-F35</f>
        <v>#REF!</v>
      </c>
      <c r="J35" s="178" t="e">
        <f>D35*$D$7*'Input data'!K72/1000</f>
        <v>#REF!</v>
      </c>
      <c r="K35" s="119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2"/>
      <c r="C36" t="e">
        <f>'Input data'!#REF!</f>
        <v>#REF!</v>
      </c>
      <c r="D36" t="e">
        <f>'Input data'!#REF!</f>
        <v>#REF!</v>
      </c>
      <c r="E36">
        <v>0</v>
      </c>
      <c r="F36">
        <v>0</v>
      </c>
      <c r="G36" s="178" t="e">
        <f>C36*$D$5*'Input data'!K73/1000-E36</f>
        <v>#REF!</v>
      </c>
      <c r="H36" s="178" t="e">
        <f>D36*$D$4*'Input data'!K73/1000-F36</f>
        <v>#REF!</v>
      </c>
      <c r="J36" s="178" t="e">
        <f>D36*$D$7*'Input data'!K73/1000</f>
        <v>#REF!</v>
      </c>
      <c r="K36" s="119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2"/>
      <c r="C37" t="e">
        <f>'Input data'!#REF!</f>
        <v>#REF!</v>
      </c>
      <c r="D37" t="e">
        <f>'Input data'!#REF!</f>
        <v>#REF!</v>
      </c>
      <c r="E37">
        <v>0</v>
      </c>
      <c r="F37">
        <v>0</v>
      </c>
      <c r="G37" s="178" t="e">
        <f>C37*$D$5*'Input data'!K74/1000-E37</f>
        <v>#REF!</v>
      </c>
      <c r="H37" s="178" t="e">
        <f>D37*$D$4*'Input data'!K74/1000-F37</f>
        <v>#REF!</v>
      </c>
      <c r="J37" s="178" t="e">
        <f>D37*$D$7*'Input data'!K74/1000</f>
        <v>#REF!</v>
      </c>
      <c r="K37" s="119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2"/>
      <c r="C38" t="e">
        <f>'Input data'!#REF!</f>
        <v>#REF!</v>
      </c>
      <c r="D38" t="e">
        <f>'Input data'!#REF!</f>
        <v>#REF!</v>
      </c>
      <c r="E38">
        <v>0</v>
      </c>
      <c r="F38">
        <v>0</v>
      </c>
      <c r="G38" s="178" t="e">
        <f>C38*$D$5*'Input data'!K75/1000-E38</f>
        <v>#REF!</v>
      </c>
      <c r="H38" s="178" t="e">
        <f>D38*$D$4*'Input data'!K75/1000-F38</f>
        <v>#REF!</v>
      </c>
      <c r="J38" s="178" t="e">
        <f>D38*$D$7*'Input data'!K75/1000</f>
        <v>#REF!</v>
      </c>
      <c r="K38" s="119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2"/>
      <c r="C39" t="e">
        <f>'Input data'!#REF!</f>
        <v>#REF!</v>
      </c>
      <c r="D39" t="e">
        <f>'Input data'!#REF!</f>
        <v>#REF!</v>
      </c>
      <c r="E39">
        <v>0</v>
      </c>
      <c r="F39">
        <v>0</v>
      </c>
      <c r="G39" s="178" t="e">
        <f>C39*$D$5*'Input data'!K76/1000-E39</f>
        <v>#REF!</v>
      </c>
      <c r="H39" s="178" t="e">
        <f>D39*$D$4*'Input data'!K76/1000-F39</f>
        <v>#REF!</v>
      </c>
      <c r="J39" s="178" t="e">
        <f>D39*$D$7*'Input data'!K76/1000</f>
        <v>#REF!</v>
      </c>
      <c r="K39" s="119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2"/>
      <c r="C40" t="e">
        <f>'Input data'!#REF!</f>
        <v>#REF!</v>
      </c>
      <c r="D40" t="e">
        <f>'Input data'!#REF!</f>
        <v>#REF!</v>
      </c>
      <c r="E40">
        <v>0</v>
      </c>
      <c r="F40">
        <v>0</v>
      </c>
      <c r="G40" s="178" t="e">
        <f>C40*$D$5*'Input data'!K77/1000-E40</f>
        <v>#REF!</v>
      </c>
      <c r="H40" s="178" t="e">
        <f>D40*$D$4*'Input data'!K77/1000-F40</f>
        <v>#REF!</v>
      </c>
      <c r="J40" s="178" t="e">
        <f>D40*$D$7*'Input data'!K77/1000</f>
        <v>#REF!</v>
      </c>
      <c r="K40" s="119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2"/>
      <c r="C41" t="e">
        <f>'Input data'!#REF!</f>
        <v>#REF!</v>
      </c>
      <c r="D41" t="e">
        <f>'Input data'!#REF!</f>
        <v>#REF!</v>
      </c>
      <c r="E41">
        <v>0</v>
      </c>
      <c r="F41">
        <v>0</v>
      </c>
      <c r="G41" s="178" t="e">
        <f>C41*$D$5*'Input data'!K78/1000-E41</f>
        <v>#REF!</v>
      </c>
      <c r="H41" s="178" t="e">
        <f>D41*$D$4*'Input data'!K78/1000-F41</f>
        <v>#REF!</v>
      </c>
      <c r="J41" s="178" t="e">
        <f>D41*$D$7*'Input data'!K78/1000</f>
        <v>#REF!</v>
      </c>
      <c r="K41" s="119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2"/>
      <c r="C42" t="e">
        <f>'Input data'!#REF!</f>
        <v>#REF!</v>
      </c>
      <c r="D42" t="e">
        <f>'Input data'!#REF!</f>
        <v>#REF!</v>
      </c>
      <c r="E42">
        <v>0</v>
      </c>
      <c r="F42">
        <v>0</v>
      </c>
      <c r="G42" s="178" t="e">
        <f>C42*$D$5*'Input data'!K79/1000-E42</f>
        <v>#REF!</v>
      </c>
      <c r="H42" s="178" t="e">
        <f>D42*$D$4*'Input data'!K79/1000-F42</f>
        <v>#REF!</v>
      </c>
      <c r="J42" s="178" t="e">
        <f>D42*$D$7*'Input data'!K79/1000</f>
        <v>#REF!</v>
      </c>
      <c r="K42" s="119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2"/>
      <c r="C43" t="e">
        <f>'Input data'!#REF!</f>
        <v>#REF!</v>
      </c>
      <c r="D43" t="e">
        <f>'Input data'!#REF!</f>
        <v>#REF!</v>
      </c>
      <c r="E43">
        <v>0</v>
      </c>
      <c r="F43">
        <v>0</v>
      </c>
      <c r="G43" s="178" t="e">
        <f>C43*$D$5*'Input data'!K80/1000-E43</f>
        <v>#REF!</v>
      </c>
      <c r="H43" s="178" t="e">
        <f>D43*$D$4*'Input data'!K80/1000-F43</f>
        <v>#REF!</v>
      </c>
      <c r="J43" s="178" t="e">
        <f>D43*$D$7*'Input data'!K80/1000</f>
        <v>#REF!</v>
      </c>
      <c r="K43" s="119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2"/>
      <c r="C44" t="e">
        <f>'Input data'!#REF!</f>
        <v>#REF!</v>
      </c>
      <c r="D44" t="e">
        <f>'Input data'!#REF!</f>
        <v>#REF!</v>
      </c>
      <c r="E44">
        <v>0</v>
      </c>
      <c r="F44">
        <v>0</v>
      </c>
      <c r="G44" s="178" t="e">
        <f>C44*$D$5*'Input data'!K81/1000-E44</f>
        <v>#REF!</v>
      </c>
      <c r="H44" s="178" t="e">
        <f>D44*$D$4*'Input data'!K81/1000-F44</f>
        <v>#REF!</v>
      </c>
      <c r="J44" s="178" t="e">
        <f>D44*$D$7*'Input data'!K81/1000</f>
        <v>#REF!</v>
      </c>
      <c r="K44" s="119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2"/>
      <c r="C45" t="e">
        <f>'Input data'!#REF!</f>
        <v>#REF!</v>
      </c>
      <c r="D45" t="e">
        <f>'Input data'!#REF!</f>
        <v>#REF!</v>
      </c>
      <c r="E45">
        <v>0</v>
      </c>
      <c r="F45">
        <v>0</v>
      </c>
      <c r="G45" s="178" t="e">
        <f>C45*$D$5*'Input data'!K82/1000-E45</f>
        <v>#REF!</v>
      </c>
      <c r="H45" s="178" t="e">
        <f>D45*$D$4*'Input data'!K82/1000-F45</f>
        <v>#REF!</v>
      </c>
      <c r="J45" s="178" t="e">
        <f>D45*$D$7*'Input data'!K82/1000</f>
        <v>#REF!</v>
      </c>
      <c r="K45" s="119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2"/>
      <c r="C46" t="e">
        <f>'Input data'!#REF!</f>
        <v>#REF!</v>
      </c>
      <c r="D46" t="e">
        <f>'Input data'!#REF!</f>
        <v>#REF!</v>
      </c>
      <c r="E46">
        <v>0</v>
      </c>
      <c r="F46">
        <v>0</v>
      </c>
      <c r="G46" s="178" t="e">
        <f>C46*$D$5*'Input data'!K83/1000-E46</f>
        <v>#REF!</v>
      </c>
      <c r="H46" s="178" t="e">
        <f>D46*$D$4*'Input data'!K83/1000-F46</f>
        <v>#REF!</v>
      </c>
      <c r="J46" s="178" t="e">
        <f>D46*$D$7*'Input data'!K83/1000</f>
        <v>#REF!</v>
      </c>
      <c r="K46" s="119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2"/>
      <c r="C47" t="e">
        <f>'Input data'!#REF!</f>
        <v>#REF!</v>
      </c>
      <c r="D47" t="e">
        <f>'Input data'!#REF!</f>
        <v>#REF!</v>
      </c>
      <c r="E47">
        <v>0</v>
      </c>
      <c r="F47">
        <v>0</v>
      </c>
      <c r="G47" s="178" t="e">
        <f>C47*$D$5*'Input data'!K84/1000-E47</f>
        <v>#REF!</v>
      </c>
      <c r="H47" s="178" t="e">
        <f>D47*$D$4*'Input data'!K84/1000-F47</f>
        <v>#REF!</v>
      </c>
      <c r="J47" s="178" t="e">
        <f>D47*$D$7*'Input data'!K84/1000</f>
        <v>#REF!</v>
      </c>
      <c r="K47" s="119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2"/>
      <c r="C48" t="e">
        <f>'Input data'!#REF!</f>
        <v>#REF!</v>
      </c>
      <c r="D48" t="e">
        <f>'Input data'!#REF!</f>
        <v>#REF!</v>
      </c>
      <c r="E48">
        <v>0</v>
      </c>
      <c r="F48">
        <v>0</v>
      </c>
      <c r="G48" s="178" t="e">
        <f>C48*$D$5*'Input data'!K85/1000-E48</f>
        <v>#REF!</v>
      </c>
      <c r="H48" s="178" t="e">
        <f>D48*$D$4*'Input data'!K85/1000-F48</f>
        <v>#REF!</v>
      </c>
      <c r="J48" s="178" t="e">
        <f>D48*$D$7*'Input data'!K85/1000</f>
        <v>#REF!</v>
      </c>
      <c r="K48" s="119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2"/>
      <c r="C49" t="e">
        <f>'Input data'!#REF!</f>
        <v>#REF!</v>
      </c>
      <c r="D49" t="e">
        <f>'Input data'!#REF!</f>
        <v>#REF!</v>
      </c>
      <c r="E49">
        <v>0</v>
      </c>
      <c r="F49">
        <v>0</v>
      </c>
      <c r="G49" s="178" t="e">
        <f>C49*$D$5*'Input data'!K86/1000-E49</f>
        <v>#REF!</v>
      </c>
      <c r="H49" s="178" t="e">
        <f>D49*$D$4*'Input data'!K86/1000-F49</f>
        <v>#REF!</v>
      </c>
      <c r="J49" s="178" t="e">
        <f>D49*$D$7*'Input data'!K86/1000</f>
        <v>#REF!</v>
      </c>
      <c r="K49" s="119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2"/>
      <c r="C50" t="e">
        <f>'Input data'!#REF!</f>
        <v>#REF!</v>
      </c>
      <c r="D50" t="e">
        <f>'Input data'!#REF!</f>
        <v>#REF!</v>
      </c>
      <c r="E50">
        <v>0</v>
      </c>
      <c r="F50">
        <v>0</v>
      </c>
      <c r="G50" s="178" t="e">
        <f>C50*$D$5*'Input data'!K87/1000-E50</f>
        <v>#REF!</v>
      </c>
      <c r="H50" s="178" t="e">
        <f>D50*$D$4*'Input data'!K87/1000-F50</f>
        <v>#REF!</v>
      </c>
      <c r="J50" s="178" t="e">
        <f>D50*$D$7*'Input data'!K87/1000</f>
        <v>#REF!</v>
      </c>
      <c r="K50" s="119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2"/>
      <c r="C51" t="e">
        <f>'Input data'!#REF!</f>
        <v>#REF!</v>
      </c>
      <c r="D51" t="e">
        <f>'Input data'!#REF!</f>
        <v>#REF!</v>
      </c>
      <c r="E51">
        <v>0</v>
      </c>
      <c r="F51">
        <v>0</v>
      </c>
      <c r="G51" s="178" t="e">
        <f>C51*$D$5*'Input data'!K88/1000-E51</f>
        <v>#REF!</v>
      </c>
      <c r="H51" s="178" t="e">
        <f>D51*$D$4*'Input data'!K88/1000-F51</f>
        <v>#REF!</v>
      </c>
      <c r="J51" s="178" t="e">
        <f>D51*$D$7*'Input data'!K88/1000</f>
        <v>#REF!</v>
      </c>
      <c r="K51" s="119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2"/>
      <c r="C52" t="e">
        <f>'Input data'!#REF!</f>
        <v>#REF!</v>
      </c>
      <c r="D52" t="e">
        <f>'Input data'!#REF!</f>
        <v>#REF!</v>
      </c>
      <c r="E52">
        <v>0</v>
      </c>
      <c r="F52">
        <v>0</v>
      </c>
      <c r="G52" s="178" t="e">
        <f>C52*$D$5*'Input data'!K89/1000-E52</f>
        <v>#REF!</v>
      </c>
      <c r="H52" s="178" t="e">
        <f>D52*$D$4*'Input data'!K89/1000-F52</f>
        <v>#REF!</v>
      </c>
      <c r="J52" s="178" t="e">
        <f>D52*$D$7*'Input data'!K89/1000</f>
        <v>#REF!</v>
      </c>
      <c r="K52" s="119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2"/>
      <c r="C53" t="e">
        <f>'Input data'!#REF!</f>
        <v>#REF!</v>
      </c>
      <c r="D53" t="e">
        <f>'Input data'!#REF!</f>
        <v>#REF!</v>
      </c>
      <c r="E53">
        <v>0</v>
      </c>
      <c r="F53">
        <v>0</v>
      </c>
      <c r="G53" s="178" t="e">
        <f>C53*$D$5*'Input data'!K90/1000-E53</f>
        <v>#REF!</v>
      </c>
      <c r="H53" s="178" t="e">
        <f>D53*$D$4*'Input data'!K90/1000-F53</f>
        <v>#REF!</v>
      </c>
      <c r="J53" s="178" t="e">
        <f>D53*$D$7*'Input data'!K90/1000</f>
        <v>#REF!</v>
      </c>
      <c r="K53" s="119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2"/>
      <c r="C54" t="e">
        <f>'Input data'!#REF!</f>
        <v>#REF!</v>
      </c>
      <c r="D54" t="e">
        <f>'Input data'!#REF!</f>
        <v>#REF!</v>
      </c>
      <c r="E54">
        <v>0</v>
      </c>
      <c r="F54">
        <v>0</v>
      </c>
      <c r="G54" s="178" t="e">
        <f>C54*$D$5*'Input data'!K91/1000-E54</f>
        <v>#REF!</v>
      </c>
      <c r="H54" s="178" t="e">
        <f>D54*$D$4*'Input data'!K91/1000-F54</f>
        <v>#REF!</v>
      </c>
      <c r="J54" s="178" t="e">
        <f>D54*$D$7*'Input data'!K91/1000</f>
        <v>#REF!</v>
      </c>
      <c r="K54" s="119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2"/>
      <c r="C55" t="e">
        <f>'Input data'!#REF!</f>
        <v>#REF!</v>
      </c>
      <c r="D55" t="e">
        <f>'Input data'!#REF!</f>
        <v>#REF!</v>
      </c>
      <c r="E55">
        <v>0</v>
      </c>
      <c r="F55">
        <v>0</v>
      </c>
      <c r="G55" s="178" t="e">
        <f>C55*$D$5*'Input data'!K92/1000-E55</f>
        <v>#REF!</v>
      </c>
      <c r="H55" s="178" t="e">
        <f>D55*$D$4*'Input data'!K92/1000-F55</f>
        <v>#REF!</v>
      </c>
      <c r="J55" s="178" t="e">
        <f>D55*$D$7*'Input data'!K92/1000</f>
        <v>#REF!</v>
      </c>
      <c r="K55" s="119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2"/>
      <c r="C56" t="e">
        <f>'Input data'!#REF!</f>
        <v>#REF!</v>
      </c>
      <c r="D56" t="e">
        <f>'Input data'!#REF!</f>
        <v>#REF!</v>
      </c>
      <c r="E56">
        <v>0</v>
      </c>
      <c r="F56">
        <v>0</v>
      </c>
      <c r="G56" s="178" t="e">
        <f>C56*$D$5*'Input data'!K93/1000-E56</f>
        <v>#REF!</v>
      </c>
      <c r="H56" s="178" t="e">
        <f>D56*$D$4*'Input data'!K93/1000-F56</f>
        <v>#REF!</v>
      </c>
      <c r="J56" s="178" t="e">
        <f>D56*$D$7*'Input data'!K93/1000</f>
        <v>#REF!</v>
      </c>
      <c r="K56" s="119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2"/>
      <c r="C57" t="e">
        <f>'Input data'!#REF!</f>
        <v>#REF!</v>
      </c>
      <c r="D57" t="e">
        <f>'Input data'!#REF!</f>
        <v>#REF!</v>
      </c>
      <c r="E57">
        <v>0</v>
      </c>
      <c r="F57">
        <v>0</v>
      </c>
      <c r="G57" s="178" t="e">
        <f>C57*$D$5*'Input data'!K94/1000-E57</f>
        <v>#REF!</v>
      </c>
      <c r="H57" s="178" t="e">
        <f>D57*$D$4*'Input data'!K94/1000-F57</f>
        <v>#REF!</v>
      </c>
      <c r="J57" s="178" t="e">
        <f>D57*$D$7*'Input data'!K94/1000</f>
        <v>#REF!</v>
      </c>
      <c r="K57" s="119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2"/>
      <c r="C58" t="e">
        <f>'Input data'!#REF!</f>
        <v>#REF!</v>
      </c>
      <c r="D58" t="e">
        <f>'Input data'!#REF!</f>
        <v>#REF!</v>
      </c>
      <c r="E58">
        <v>0</v>
      </c>
      <c r="F58">
        <v>0</v>
      </c>
      <c r="G58" s="178" t="e">
        <f>C58*$D$5*'Input data'!K95/1000-E58</f>
        <v>#REF!</v>
      </c>
      <c r="H58" s="178" t="e">
        <f>D58*$D$4*'Input data'!K95/1000-F58</f>
        <v>#REF!</v>
      </c>
      <c r="J58" s="178" t="e">
        <f>D58*$D$7*'Input data'!K95/1000</f>
        <v>#REF!</v>
      </c>
      <c r="K58" s="119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2"/>
      <c r="C59" t="e">
        <f>'Input data'!#REF!</f>
        <v>#REF!</v>
      </c>
      <c r="D59" t="e">
        <f>'Input data'!#REF!</f>
        <v>#REF!</v>
      </c>
      <c r="E59">
        <v>0</v>
      </c>
      <c r="F59">
        <v>0</v>
      </c>
      <c r="G59" s="178" t="e">
        <f>C59*$D$5*'Input data'!K96/1000-E59</f>
        <v>#REF!</v>
      </c>
      <c r="H59" s="178" t="e">
        <f>D59*$D$4*'Input data'!K96/1000-F59</f>
        <v>#REF!</v>
      </c>
      <c r="J59" s="178" t="e">
        <f>D59*$D$7*'Input data'!K96/1000</f>
        <v>#REF!</v>
      </c>
      <c r="K59" s="119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2"/>
      <c r="C60" t="e">
        <f>'Input data'!#REF!</f>
        <v>#REF!</v>
      </c>
      <c r="D60" t="e">
        <f>'Input data'!#REF!</f>
        <v>#REF!</v>
      </c>
      <c r="E60">
        <v>0</v>
      </c>
      <c r="F60">
        <v>0</v>
      </c>
      <c r="G60" s="178" t="e">
        <f>C60*$D$5*'Input data'!K97/1000-E60</f>
        <v>#REF!</v>
      </c>
      <c r="H60" s="178" t="e">
        <f>D60*$D$4*'Input data'!K97/1000-F60</f>
        <v>#REF!</v>
      </c>
      <c r="J60" s="178" t="e">
        <f>D60*$D$7*'Input data'!K97/1000</f>
        <v>#REF!</v>
      </c>
      <c r="K60" s="119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2"/>
      <c r="C61" t="e">
        <f>'Input data'!#REF!</f>
        <v>#REF!</v>
      </c>
      <c r="D61" t="e">
        <f>'Input data'!#REF!</f>
        <v>#REF!</v>
      </c>
      <c r="E61">
        <v>0</v>
      </c>
      <c r="F61">
        <v>0</v>
      </c>
      <c r="G61" s="178" t="e">
        <f>C61*$D$5*'Input data'!K98/1000-E61</f>
        <v>#REF!</v>
      </c>
      <c r="H61" s="178" t="e">
        <f>D61*$D$4*'Input data'!K98/1000-F61</f>
        <v>#REF!</v>
      </c>
      <c r="J61" s="178" t="e">
        <f>D61*$D$7*'Input data'!K98/1000</f>
        <v>#REF!</v>
      </c>
      <c r="K61" s="119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2"/>
      <c r="C62" t="e">
        <f>'Input data'!#REF!</f>
        <v>#REF!</v>
      </c>
      <c r="D62" t="e">
        <f>'Input data'!#REF!</f>
        <v>#REF!</v>
      </c>
      <c r="E62">
        <v>0</v>
      </c>
      <c r="F62">
        <v>0</v>
      </c>
      <c r="G62" s="178" t="e">
        <f>C62*$D$5*'Input data'!K99/1000-E62</f>
        <v>#REF!</v>
      </c>
      <c r="H62" s="178" t="e">
        <f>D62*$D$4*'Input data'!K99/1000-F62</f>
        <v>#REF!</v>
      </c>
      <c r="J62" s="178" t="e">
        <f>D62*$D$7*'Input data'!K99/1000</f>
        <v>#REF!</v>
      </c>
      <c r="K62" s="119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3">
        <f>M63*$D$7*K63/1000</f>
        <v>0.25440274196801715</v>
      </c>
      <c r="T63" s="1194">
        <f>G63+P63</f>
        <v>0</v>
      </c>
      <c r="U63" s="1195">
        <f>H63+Q63</f>
        <v>8.0224619830130912</v>
      </c>
      <c r="V63" s="1195">
        <f>I63+R63</f>
        <v>0</v>
      </c>
      <c r="W63" s="1196">
        <f>J63+S63</f>
        <v>0.48134771898078543</v>
      </c>
      <c r="Z63" s="1397"/>
      <c r="AA63" s="1399"/>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7">
        <f t="shared" ref="S64:S114" si="6">M64*$D$7*K64/1000</f>
        <v>0.26127160217945267</v>
      </c>
      <c r="T64" s="1198">
        <f t="shared" ref="T64:W80" si="7">G64+P64</f>
        <v>0</v>
      </c>
      <c r="U64" s="1199">
        <f t="shared" si="7"/>
        <v>8.215170232401265</v>
      </c>
      <c r="V64" s="1199">
        <f t="shared" si="7"/>
        <v>0</v>
      </c>
      <c r="W64" s="1200">
        <f t="shared" si="7"/>
        <v>0.49291021394407586</v>
      </c>
      <c r="Z64" s="1397"/>
      <c r="AA64" s="1399"/>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7">
        <f t="shared" si="6"/>
        <v>0.27093965043728879</v>
      </c>
      <c r="T65" s="1198">
        <f t="shared" si="7"/>
        <v>0</v>
      </c>
      <c r="U65" s="1199">
        <f t="shared" si="7"/>
        <v>8.4298599460466228</v>
      </c>
      <c r="V65" s="1199">
        <f t="shared" si="7"/>
        <v>0</v>
      </c>
      <c r="W65" s="1200">
        <f t="shared" si="7"/>
        <v>0.50579159676279739</v>
      </c>
      <c r="Z65" s="1397"/>
      <c r="AA65" s="1399"/>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7">
        <f t="shared" si="6"/>
        <v>0.27892987514219564</v>
      </c>
      <c r="T66" s="1198">
        <f t="shared" si="7"/>
        <v>0</v>
      </c>
      <c r="U66" s="1199">
        <f t="shared" si="7"/>
        <v>8.6131473735520565</v>
      </c>
      <c r="V66" s="1199">
        <f t="shared" si="7"/>
        <v>0</v>
      </c>
      <c r="W66" s="1200">
        <f t="shared" si="7"/>
        <v>0.51678884241312339</v>
      </c>
      <c r="Z66" s="1397"/>
      <c r="AA66" s="1399"/>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7">
        <f t="shared" si="6"/>
        <v>0.29163388342710961</v>
      </c>
      <c r="T67" s="1198">
        <f t="shared" si="7"/>
        <v>0</v>
      </c>
      <c r="U67" s="1199">
        <f t="shared" si="7"/>
        <v>8.8720750845051715</v>
      </c>
      <c r="V67" s="1199">
        <f t="shared" si="7"/>
        <v>0</v>
      </c>
      <c r="W67" s="1200">
        <f t="shared" si="7"/>
        <v>0.53232450507031026</v>
      </c>
      <c r="Z67" s="1397"/>
      <c r="AA67" s="1399"/>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7">
        <f t="shared" si="6"/>
        <v>0.3070235676804306</v>
      </c>
      <c r="T68" s="1198">
        <f t="shared" si="7"/>
        <v>0</v>
      </c>
      <c r="U68" s="1199">
        <f t="shared" si="7"/>
        <v>9.1743886374952961</v>
      </c>
      <c r="V68" s="1199">
        <f t="shared" si="7"/>
        <v>0</v>
      </c>
      <c r="W68" s="1200">
        <f t="shared" si="7"/>
        <v>0.55046331824971773</v>
      </c>
      <c r="Z68" s="1397"/>
      <c r="AA68" s="1399"/>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7">
        <f t="shared" si="6"/>
        <v>0.32422854717254446</v>
      </c>
      <c r="T69" s="1198">
        <f t="shared" si="7"/>
        <v>0</v>
      </c>
      <c r="U69" s="1199">
        <f t="shared" si="7"/>
        <v>9.5069571111319693</v>
      </c>
      <c r="V69" s="1199">
        <f t="shared" si="7"/>
        <v>0</v>
      </c>
      <c r="W69" s="1200">
        <f t="shared" si="7"/>
        <v>0.57041742666791817</v>
      </c>
      <c r="Z69" s="1397"/>
      <c r="AA69" s="1399"/>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7">
        <f t="shared" si="6"/>
        <v>0.34160874027546823</v>
      </c>
      <c r="T70" s="1198">
        <f t="shared" si="7"/>
        <v>0</v>
      </c>
      <c r="U70" s="1199">
        <f t="shared" si="7"/>
        <v>9.8418440635703632</v>
      </c>
      <c r="V70" s="1199">
        <f t="shared" si="7"/>
        <v>0</v>
      </c>
      <c r="W70" s="1200">
        <f t="shared" si="7"/>
        <v>0.5905106438142218</v>
      </c>
      <c r="Z70" s="1397"/>
      <c r="AA70" s="1399"/>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7">
        <f t="shared" si="6"/>
        <v>0.35250963484899966</v>
      </c>
      <c r="T71" s="1198">
        <f t="shared" si="7"/>
        <v>0</v>
      </c>
      <c r="U71" s="1199">
        <f t="shared" si="7"/>
        <v>10.069602347249996</v>
      </c>
      <c r="V71" s="1199">
        <f t="shared" si="7"/>
        <v>0</v>
      </c>
      <c r="W71" s="1200">
        <f t="shared" si="7"/>
        <v>0.60417614083499971</v>
      </c>
      <c r="Z71" s="1397"/>
      <c r="AA71" s="1399"/>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7">
        <f t="shared" si="6"/>
        <v>0.34708772175406483</v>
      </c>
      <c r="T72" s="1198">
        <f t="shared" si="7"/>
        <v>0</v>
      </c>
      <c r="U72" s="1199">
        <f t="shared" si="7"/>
        <v>10.024540160397191</v>
      </c>
      <c r="V72" s="1199">
        <f t="shared" si="7"/>
        <v>0</v>
      </c>
      <c r="W72" s="1200">
        <f t="shared" si="7"/>
        <v>0.60147240962383142</v>
      </c>
      <c r="Z72" s="1397"/>
      <c r="AA72" s="1399"/>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7">
        <f t="shared" si="6"/>
        <v>0.35763825418383371</v>
      </c>
      <c r="T73" s="1198">
        <f t="shared" si="7"/>
        <v>0</v>
      </c>
      <c r="U73" s="1199">
        <f t="shared" si="7"/>
        <v>11.535315942073929</v>
      </c>
      <c r="V73" s="1199">
        <f t="shared" si="7"/>
        <v>0</v>
      </c>
      <c r="W73" s="1200">
        <f t="shared" si="7"/>
        <v>0.69211895652443567</v>
      </c>
      <c r="Z73" s="1397"/>
      <c r="AA73" s="1399"/>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7">
        <f t="shared" si="6"/>
        <v>0.33244532621220979</v>
      </c>
      <c r="T74" s="1198">
        <f t="shared" si="7"/>
        <v>0.19334183325252791</v>
      </c>
      <c r="U74" s="1199">
        <f t="shared" si="7"/>
        <v>12.211079229134413</v>
      </c>
      <c r="V74" s="1199">
        <f t="shared" si="7"/>
        <v>0</v>
      </c>
      <c r="W74" s="1200">
        <f t="shared" si="7"/>
        <v>0.73266475374806461</v>
      </c>
      <c r="Z74" s="1397"/>
      <c r="AA74" s="1399"/>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7">
        <f t="shared" si="6"/>
        <v>0.33980352082390564</v>
      </c>
      <c r="T75" s="1198">
        <f t="shared" si="7"/>
        <v>0.2082571219057886</v>
      </c>
      <c r="U75" s="1199">
        <f t="shared" si="7"/>
        <v>13.491768788014623</v>
      </c>
      <c r="V75" s="1199">
        <f t="shared" si="7"/>
        <v>0</v>
      </c>
      <c r="W75" s="1200">
        <f t="shared" si="7"/>
        <v>0.80950612728087734</v>
      </c>
      <c r="Z75" s="1397"/>
      <c r="AA75" s="1399"/>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7">
        <f t="shared" si="6"/>
        <v>0.34868522341899111</v>
      </c>
      <c r="T76" s="1198">
        <f t="shared" si="7"/>
        <v>0.2233300797027758</v>
      </c>
      <c r="U76" s="1199">
        <f t="shared" si="7"/>
        <v>14.759223804745339</v>
      </c>
      <c r="V76" s="1199">
        <f t="shared" si="7"/>
        <v>0</v>
      </c>
      <c r="W76" s="1200">
        <f t="shared" si="7"/>
        <v>0.88555342828472039</v>
      </c>
      <c r="Z76" s="1397"/>
      <c r="AA76" s="1399"/>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7">
        <f t="shared" si="6"/>
        <v>0.35491170950739259</v>
      </c>
      <c r="T77" s="1198">
        <f t="shared" si="7"/>
        <v>0.23671892495327568</v>
      </c>
      <c r="U77" s="1199">
        <f t="shared" si="7"/>
        <v>15.915858805609473</v>
      </c>
      <c r="V77" s="1199">
        <f t="shared" si="7"/>
        <v>0</v>
      </c>
      <c r="W77" s="1200">
        <f t="shared" si="7"/>
        <v>0.95495152833656827</v>
      </c>
      <c r="Z77" s="1397"/>
      <c r="AA77" s="1399"/>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7">
        <f t="shared" si="6"/>
        <v>0.35937588613304222</v>
      </c>
      <c r="T78" s="1198">
        <f t="shared" si="7"/>
        <v>0.24872431455830615</v>
      </c>
      <c r="U78" s="1199">
        <f t="shared" si="7"/>
        <v>16.973700880575333</v>
      </c>
      <c r="V78" s="1199">
        <f t="shared" si="7"/>
        <v>0</v>
      </c>
      <c r="W78" s="1200">
        <f t="shared" si="7"/>
        <v>1.01842205283452</v>
      </c>
      <c r="Z78" s="1397"/>
      <c r="AA78" s="1399"/>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7">
        <f t="shared" si="6"/>
        <v>0.3620339224077605</v>
      </c>
      <c r="T79" s="1198">
        <f t="shared" si="7"/>
        <v>0.25929726721956436</v>
      </c>
      <c r="U79" s="1199">
        <f t="shared" si="7"/>
        <v>17.928908489418596</v>
      </c>
      <c r="V79" s="1199">
        <f t="shared" si="7"/>
        <v>0</v>
      </c>
      <c r="W79" s="1200">
        <f t="shared" si="7"/>
        <v>1.0757345093651158</v>
      </c>
      <c r="Z79" s="1397"/>
      <c r="AA79" s="1399"/>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1">
        <f t="shared" si="6"/>
        <v>0.366102504</v>
      </c>
      <c r="T80" s="1198">
        <f t="shared" si="7"/>
        <v>0.26959352009873772</v>
      </c>
      <c r="U80" s="1199">
        <f t="shared" si="7"/>
        <v>18.831708409380081</v>
      </c>
      <c r="V80" s="1199">
        <f t="shared" si="7"/>
        <v>0</v>
      </c>
      <c r="W80" s="1200">
        <f t="shared" si="7"/>
        <v>1.1299025045628048</v>
      </c>
      <c r="Z80" s="1397"/>
      <c r="AA80" s="1399"/>
    </row>
    <row r="81" spans="1:23">
      <c r="A81" s="1202" t="s">
        <v>643</v>
      </c>
      <c r="B81" s="1203"/>
      <c r="C81" s="1204"/>
      <c r="D81" s="1204"/>
      <c r="E81" s="501"/>
      <c r="F81" s="501"/>
      <c r="G81" s="1205"/>
      <c r="H81" s="1203"/>
      <c r="I81" s="1206"/>
      <c r="J81" s="1205"/>
      <c r="K81" s="1207"/>
      <c r="L81" s="1204"/>
      <c r="M81" s="1204"/>
      <c r="N81" s="501"/>
      <c r="O81" s="501"/>
      <c r="P81" s="737">
        <f>L81*$D$5*'Input data'!U118/1000-N81</f>
        <v>0</v>
      </c>
      <c r="Q81" s="738">
        <f t="shared" si="5"/>
        <v>0</v>
      </c>
      <c r="R81" s="115"/>
      <c r="S81" s="1193">
        <f t="shared" si="6"/>
        <v>0</v>
      </c>
      <c r="T81" s="1194">
        <f t="shared" ref="T81:W114" si="9">G81+P81</f>
        <v>0</v>
      </c>
      <c r="U81" s="1195">
        <f t="shared" si="9"/>
        <v>0</v>
      </c>
      <c r="V81" s="1195">
        <f t="shared" si="9"/>
        <v>0</v>
      </c>
      <c r="W81" s="1196">
        <f t="shared" si="9"/>
        <v>0</v>
      </c>
    </row>
    <row r="82" spans="1:23">
      <c r="A82" s="123">
        <f>'Input data'!A118</f>
        <v>2018</v>
      </c>
      <c r="B82" s="1208">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7">
        <f t="shared" si="6"/>
        <v>0.38663325227707085</v>
      </c>
      <c r="T82" s="1198">
        <f>G82+P82</f>
        <v>0.32115863087580998</v>
      </c>
      <c r="U82" s="1199">
        <f>H82+Q82</f>
        <v>20.384176057159792</v>
      </c>
      <c r="V82" s="1199">
        <f t="shared" si="9"/>
        <v>0</v>
      </c>
      <c r="W82" s="1200">
        <f t="shared" si="9"/>
        <v>1.2230505634295874</v>
      </c>
    </row>
    <row r="83" spans="1:23">
      <c r="A83" s="123">
        <f>'Input data'!A119</f>
        <v>2019</v>
      </c>
      <c r="B83" s="1208">
        <f>'Recycling - Case 1'!AI99</f>
        <v>4010.8720893729233</v>
      </c>
      <c r="C83" s="1209">
        <f>($C$86-$C$80)/($A$86-$A$80)+C82</f>
        <v>7.0000000000000007E-2</v>
      </c>
      <c r="D83" s="1209">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2562.551002317176</v>
      </c>
      <c r="L83" s="114">
        <v>0.1</v>
      </c>
      <c r="M83" s="1209">
        <f t="shared" ref="M83:M114" si="14">1-L83</f>
        <v>0.9</v>
      </c>
      <c r="N83" s="53">
        <f t="shared" ref="N83:O98" si="15">N81</f>
        <v>0</v>
      </c>
      <c r="O83" s="53">
        <f t="shared" si="15"/>
        <v>0</v>
      </c>
      <c r="P83" s="178">
        <f t="shared" ref="P83:P112" si="16">L83*$D$5*K83/1000-N83</f>
        <v>0.20500408018537411</v>
      </c>
      <c r="Q83" s="519">
        <f t="shared" si="5"/>
        <v>9.2251836083418333</v>
      </c>
      <c r="R83" s="53"/>
      <c r="S83" s="1211">
        <f t="shared" si="6"/>
        <v>0.55351101650050993</v>
      </c>
      <c r="T83" s="1198">
        <f t="shared" si="9"/>
        <v>0.42961291719025785</v>
      </c>
      <c r="U83" s="1199">
        <f t="shared" si="9"/>
        <v>24.145627780809107</v>
      </c>
      <c r="V83" s="1199">
        <f t="shared" si="9"/>
        <v>0</v>
      </c>
      <c r="W83" s="1200">
        <f t="shared" si="9"/>
        <v>1.4487376668485463</v>
      </c>
    </row>
    <row r="84" spans="1:23">
      <c r="A84" s="123">
        <f>'Input data'!A120</f>
        <v>2020</v>
      </c>
      <c r="B84" s="1208">
        <f>'Recycling - Case 1'!AI100</f>
        <v>4314.2206364031299</v>
      </c>
      <c r="C84" s="1209">
        <f t="shared" ref="C84:C85" si="17">($C$86-$C$80)/($A$86-$A$80)+C83</f>
        <v>0.08</v>
      </c>
      <c r="D84" s="1209">
        <f t="shared" si="10"/>
        <v>0.92</v>
      </c>
      <c r="E84" s="53">
        <v>0</v>
      </c>
      <c r="F84" s="53">
        <v>0</v>
      </c>
      <c r="G84" s="776">
        <f t="shared" si="11"/>
        <v>0.27611012072980029</v>
      </c>
      <c r="H84" s="519">
        <f t="shared" si="12"/>
        <v>15.876331941963519</v>
      </c>
      <c r="I84" s="53"/>
      <c r="J84" s="776">
        <f t="shared" si="13"/>
        <v>0.95257991651781104</v>
      </c>
      <c r="K84" s="527">
        <f>'Recycling - Case 1'!Z140</f>
        <v>2485.4449375303884</v>
      </c>
      <c r="L84" s="114">
        <v>0.1</v>
      </c>
      <c r="M84" s="1209">
        <f t="shared" si="14"/>
        <v>0.9</v>
      </c>
      <c r="N84" s="53">
        <f t="shared" si="15"/>
        <v>0</v>
      </c>
      <c r="O84" s="53">
        <f t="shared" si="15"/>
        <v>0</v>
      </c>
      <c r="P84" s="178">
        <f t="shared" si="16"/>
        <v>0.19883559500243111</v>
      </c>
      <c r="Q84" s="519">
        <f t="shared" si="5"/>
        <v>8.9476017751093995</v>
      </c>
      <c r="R84" s="53"/>
      <c r="S84" s="1211">
        <f t="shared" si="6"/>
        <v>0.5368561065065639</v>
      </c>
      <c r="T84" s="1198">
        <f t="shared" si="9"/>
        <v>0.47494571573223143</v>
      </c>
      <c r="U84" s="1199">
        <f t="shared" si="9"/>
        <v>24.823933717072919</v>
      </c>
      <c r="V84" s="1199">
        <f t="shared" si="9"/>
        <v>0</v>
      </c>
      <c r="W84" s="1200">
        <f t="shared" si="9"/>
        <v>1.4894360230243748</v>
      </c>
    </row>
    <row r="85" spans="1:23">
      <c r="A85" s="123">
        <f>'Input data'!A121</f>
        <v>2021</v>
      </c>
      <c r="B85" s="1208">
        <f>'Recycling - Case 1'!AI101</f>
        <v>4617.5691834333375</v>
      </c>
      <c r="C85" s="1209">
        <f t="shared" si="17"/>
        <v>0.09</v>
      </c>
      <c r="D85" s="1209">
        <f t="shared" si="10"/>
        <v>0.91</v>
      </c>
      <c r="E85" s="53">
        <v>0</v>
      </c>
      <c r="F85" s="53">
        <v>0</v>
      </c>
      <c r="G85" s="776">
        <f t="shared" si="11"/>
        <v>0.33246498120720025</v>
      </c>
      <c r="H85" s="519">
        <f t="shared" si="12"/>
        <v>16.807951827697352</v>
      </c>
      <c r="I85" s="53"/>
      <c r="J85" s="776">
        <f t="shared" si="13"/>
        <v>1.008477109661841</v>
      </c>
      <c r="K85" s="527">
        <f>'Recycling - Case 1'!Z141</f>
        <v>2634.8523232226207</v>
      </c>
      <c r="L85" s="114">
        <v>0.1</v>
      </c>
      <c r="M85" s="1209">
        <f t="shared" si="14"/>
        <v>0.9</v>
      </c>
      <c r="N85" s="53">
        <f t="shared" si="15"/>
        <v>0</v>
      </c>
      <c r="O85" s="53">
        <f t="shared" si="15"/>
        <v>0</v>
      </c>
      <c r="P85" s="178">
        <f t="shared" si="16"/>
        <v>0.2107881858578097</v>
      </c>
      <c r="Q85" s="519">
        <f t="shared" si="5"/>
        <v>9.4854683636014343</v>
      </c>
      <c r="R85" s="53"/>
      <c r="S85" s="1211">
        <f t="shared" si="6"/>
        <v>0.56912810181608608</v>
      </c>
      <c r="T85" s="1198">
        <f t="shared" si="9"/>
        <v>0.54325316706500992</v>
      </c>
      <c r="U85" s="1199">
        <f t="shared" si="9"/>
        <v>26.293420191298786</v>
      </c>
      <c r="V85" s="1199">
        <f t="shared" si="9"/>
        <v>0</v>
      </c>
      <c r="W85" s="1200">
        <f t="shared" si="9"/>
        <v>1.5776052114779271</v>
      </c>
    </row>
    <row r="86" spans="1:23">
      <c r="A86" s="123">
        <f>'Input data'!A122</f>
        <v>2022</v>
      </c>
      <c r="B86" s="1208">
        <f>'Recycling - Case 1'!AI102</f>
        <v>4920.9177304635441</v>
      </c>
      <c r="C86" s="1209">
        <f>'Recycling - Case 1'!C31</f>
        <v>0.1</v>
      </c>
      <c r="D86" s="1209">
        <f t="shared" si="10"/>
        <v>0.9</v>
      </c>
      <c r="E86" s="53">
        <v>0</v>
      </c>
      <c r="F86" s="53">
        <v>0</v>
      </c>
      <c r="G86" s="776">
        <f t="shared" si="11"/>
        <v>0.39367341843708364</v>
      </c>
      <c r="H86" s="519">
        <f t="shared" si="12"/>
        <v>17.715303829668759</v>
      </c>
      <c r="I86" s="53"/>
      <c r="J86" s="776">
        <f t="shared" si="13"/>
        <v>1.0629182297801256</v>
      </c>
      <c r="K86" s="527">
        <f>'Recycling - Case 1'!Z142</f>
        <v>2769.8273208059522</v>
      </c>
      <c r="L86" s="1209">
        <f>'Recycling - Case 1'!C31</f>
        <v>0.1</v>
      </c>
      <c r="M86" s="1209">
        <f t="shared" si="14"/>
        <v>0.9</v>
      </c>
      <c r="N86" s="53">
        <f t="shared" si="15"/>
        <v>0</v>
      </c>
      <c r="O86" s="53">
        <f t="shared" si="15"/>
        <v>0</v>
      </c>
      <c r="P86" s="178">
        <f t="shared" si="16"/>
        <v>0.22158618566447624</v>
      </c>
      <c r="Q86" s="519">
        <f t="shared" si="5"/>
        <v>9.9713783549014288</v>
      </c>
      <c r="R86" s="53"/>
      <c r="S86" s="1211">
        <f t="shared" si="6"/>
        <v>0.59828270129408567</v>
      </c>
      <c r="T86" s="1198">
        <f t="shared" si="9"/>
        <v>0.61525960410155989</v>
      </c>
      <c r="U86" s="1199">
        <f t="shared" si="9"/>
        <v>27.686682184570188</v>
      </c>
      <c r="V86" s="1199">
        <f t="shared" si="9"/>
        <v>0</v>
      </c>
      <c r="W86" s="1200">
        <f t="shared" si="9"/>
        <v>1.6612009310742113</v>
      </c>
    </row>
    <row r="87" spans="1:23">
      <c r="A87" s="123">
        <f>'Input data'!A123</f>
        <v>2023</v>
      </c>
      <c r="B87" s="1208">
        <f>'Recycling - Case 1'!AI103</f>
        <v>5224.2662774937517</v>
      </c>
      <c r="C87" s="1209">
        <f>C86</f>
        <v>0.1</v>
      </c>
      <c r="D87" s="1209">
        <f t="shared" si="10"/>
        <v>0.9</v>
      </c>
      <c r="E87" s="53">
        <v>0</v>
      </c>
      <c r="F87" s="53">
        <v>0</v>
      </c>
      <c r="G87" s="776">
        <f t="shared" si="11"/>
        <v>0.41794130219950021</v>
      </c>
      <c r="H87" s="519">
        <f t="shared" si="12"/>
        <v>18.807358598977505</v>
      </c>
      <c r="I87" s="53"/>
      <c r="J87" s="776">
        <f t="shared" si="13"/>
        <v>1.1284415159386503</v>
      </c>
      <c r="K87" s="527">
        <f>'Recycling - Case 1'!Z143</f>
        <v>2901.5128257327401</v>
      </c>
      <c r="L87" s="1209">
        <f>L86</f>
        <v>0.1</v>
      </c>
      <c r="M87" s="1209">
        <f t="shared" si="14"/>
        <v>0.9</v>
      </c>
      <c r="N87" s="53">
        <f t="shared" si="15"/>
        <v>0</v>
      </c>
      <c r="O87" s="53">
        <f t="shared" si="15"/>
        <v>0</v>
      </c>
      <c r="P87" s="178">
        <f t="shared" si="16"/>
        <v>0.23212102605861926</v>
      </c>
      <c r="Q87" s="519">
        <f t="shared" si="5"/>
        <v>10.445446172637865</v>
      </c>
      <c r="R87" s="53"/>
      <c r="S87" s="1211">
        <f t="shared" si="6"/>
        <v>0.62672677035827185</v>
      </c>
      <c r="T87" s="1198">
        <f t="shared" si="9"/>
        <v>0.65006232825811949</v>
      </c>
      <c r="U87" s="1199">
        <f t="shared" si="9"/>
        <v>29.25280477161537</v>
      </c>
      <c r="V87" s="1199">
        <f t="shared" si="9"/>
        <v>0</v>
      </c>
      <c r="W87" s="1200">
        <f t="shared" si="9"/>
        <v>1.755168286296922</v>
      </c>
    </row>
    <row r="88" spans="1:23">
      <c r="A88" s="123">
        <f>'Input data'!A124</f>
        <v>2024</v>
      </c>
      <c r="B88" s="1208">
        <f>'Recycling - Case 1'!AI104</f>
        <v>5527.6148245239583</v>
      </c>
      <c r="C88" s="1209">
        <f t="shared" ref="C88:C114" si="18">C87</f>
        <v>0.1</v>
      </c>
      <c r="D88" s="1209">
        <f t="shared" si="10"/>
        <v>0.9</v>
      </c>
      <c r="E88" s="53">
        <v>0</v>
      </c>
      <c r="F88" s="53">
        <v>0</v>
      </c>
      <c r="G88" s="776">
        <f t="shared" si="11"/>
        <v>0.44220918596191677</v>
      </c>
      <c r="H88" s="519">
        <f t="shared" si="12"/>
        <v>19.89941336828625</v>
      </c>
      <c r="I88" s="53"/>
      <c r="J88" s="776">
        <f t="shared" si="13"/>
        <v>1.1939648020971749</v>
      </c>
      <c r="K88" s="527">
        <f>'Recycling - Case 1'!Z144</f>
        <v>3040.7547406827407</v>
      </c>
      <c r="L88" s="1209">
        <f t="shared" ref="L88:L114" si="19">L87</f>
        <v>0.1</v>
      </c>
      <c r="M88" s="1209">
        <f t="shared" si="14"/>
        <v>0.9</v>
      </c>
      <c r="N88" s="53">
        <f t="shared" si="15"/>
        <v>0</v>
      </c>
      <c r="O88" s="53">
        <f t="shared" si="15"/>
        <v>0</v>
      </c>
      <c r="P88" s="178">
        <f t="shared" si="16"/>
        <v>0.2432603792546193</v>
      </c>
      <c r="Q88" s="519">
        <f t="shared" si="5"/>
        <v>10.946717066457866</v>
      </c>
      <c r="R88" s="53"/>
      <c r="S88" s="1211">
        <f t="shared" si="6"/>
        <v>0.65680302398747203</v>
      </c>
      <c r="T88" s="1198">
        <f t="shared" si="9"/>
        <v>0.68546956521653613</v>
      </c>
      <c r="U88" s="1199">
        <f t="shared" si="9"/>
        <v>30.846130434744119</v>
      </c>
      <c r="V88" s="1199">
        <f t="shared" si="9"/>
        <v>0</v>
      </c>
      <c r="W88" s="1200">
        <f t="shared" si="9"/>
        <v>1.850767826084647</v>
      </c>
    </row>
    <row r="89" spans="1:23">
      <c r="A89" s="123">
        <f>'Input data'!A125</f>
        <v>2025</v>
      </c>
      <c r="B89" s="1208">
        <f>'Recycling - Case 1'!AI105</f>
        <v>5830.9633715541659</v>
      </c>
      <c r="C89" s="1209">
        <f t="shared" si="18"/>
        <v>0.1</v>
      </c>
      <c r="D89" s="1209">
        <f t="shared" si="10"/>
        <v>0.9</v>
      </c>
      <c r="E89" s="53">
        <v>0</v>
      </c>
      <c r="F89" s="53">
        <v>0</v>
      </c>
      <c r="G89" s="776">
        <f t="shared" si="11"/>
        <v>0.46647706972433339</v>
      </c>
      <c r="H89" s="519">
        <f t="shared" si="12"/>
        <v>20.991468137595</v>
      </c>
      <c r="I89" s="53"/>
      <c r="J89" s="776">
        <f t="shared" si="13"/>
        <v>1.2594880882556998</v>
      </c>
      <c r="K89" s="527">
        <f>'Recycling - Case 1'!Z145</f>
        <v>3177.0967729303602</v>
      </c>
      <c r="L89" s="1209">
        <f t="shared" si="19"/>
        <v>0.1</v>
      </c>
      <c r="M89" s="1209">
        <f t="shared" si="14"/>
        <v>0.9</v>
      </c>
      <c r="N89" s="53">
        <f t="shared" si="15"/>
        <v>0</v>
      </c>
      <c r="O89" s="53">
        <f t="shared" si="15"/>
        <v>0</v>
      </c>
      <c r="P89" s="178">
        <f t="shared" si="16"/>
        <v>0.25416774183442886</v>
      </c>
      <c r="Q89" s="519">
        <f t="shared" si="5"/>
        <v>11.437548382549297</v>
      </c>
      <c r="R89" s="53"/>
      <c r="S89" s="1211">
        <f t="shared" si="6"/>
        <v>0.68625290295295782</v>
      </c>
      <c r="T89" s="1198">
        <f t="shared" si="9"/>
        <v>0.72064481155876225</v>
      </c>
      <c r="U89" s="1199">
        <f t="shared" si="9"/>
        <v>32.429016520144295</v>
      </c>
      <c r="V89" s="1199">
        <f t="shared" si="9"/>
        <v>0</v>
      </c>
      <c r="W89" s="1200">
        <f t="shared" si="9"/>
        <v>1.9457409912086576</v>
      </c>
    </row>
    <row r="90" spans="1:23">
      <c r="A90" s="123">
        <f>'Input data'!A126</f>
        <v>2026</v>
      </c>
      <c r="B90" s="1208">
        <f>'Recycling - Case 1'!AI106</f>
        <v>6134.3119185843725</v>
      </c>
      <c r="C90" s="1209">
        <f t="shared" si="18"/>
        <v>0.1</v>
      </c>
      <c r="D90" s="1209">
        <f t="shared" si="10"/>
        <v>0.9</v>
      </c>
      <c r="E90" s="53">
        <v>0</v>
      </c>
      <c r="F90" s="53">
        <v>0</v>
      </c>
      <c r="G90" s="776">
        <f t="shared" si="11"/>
        <v>0.4907449534867499</v>
      </c>
      <c r="H90" s="519">
        <f t="shared" si="12"/>
        <v>22.083522906903742</v>
      </c>
      <c r="I90" s="53"/>
      <c r="J90" s="776">
        <f t="shared" si="13"/>
        <v>1.3250113744142245</v>
      </c>
      <c r="K90" s="527">
        <f>'Recycling - Case 1'!Z146</f>
        <v>3307.5979165508688</v>
      </c>
      <c r="L90" s="1209">
        <f t="shared" si="19"/>
        <v>0.1</v>
      </c>
      <c r="M90" s="1209">
        <f t="shared" si="14"/>
        <v>0.9</v>
      </c>
      <c r="N90" s="53">
        <f t="shared" si="15"/>
        <v>0</v>
      </c>
      <c r="O90" s="53">
        <f t="shared" si="15"/>
        <v>0</v>
      </c>
      <c r="P90" s="178">
        <f t="shared" si="16"/>
        <v>0.26460783332406951</v>
      </c>
      <c r="Q90" s="519">
        <f t="shared" si="5"/>
        <v>11.907352499583128</v>
      </c>
      <c r="R90" s="53"/>
      <c r="S90" s="1211">
        <f t="shared" si="6"/>
        <v>0.71444114997498764</v>
      </c>
      <c r="T90" s="1198">
        <f t="shared" si="9"/>
        <v>0.75535278681081941</v>
      </c>
      <c r="U90" s="1199">
        <f t="shared" si="9"/>
        <v>33.990875406486872</v>
      </c>
      <c r="V90" s="1199">
        <f t="shared" si="9"/>
        <v>0</v>
      </c>
      <c r="W90" s="1200">
        <f t="shared" si="9"/>
        <v>2.0394525243892119</v>
      </c>
    </row>
    <row r="91" spans="1:23">
      <c r="A91" s="123">
        <f>'Input data'!A127</f>
        <v>2027</v>
      </c>
      <c r="B91" s="1208">
        <f>'Recycling - Case 1'!AI107</f>
        <v>6437.6604656145792</v>
      </c>
      <c r="C91" s="1209">
        <f t="shared" si="18"/>
        <v>0.1</v>
      </c>
      <c r="D91" s="1209">
        <f t="shared" si="10"/>
        <v>0.9</v>
      </c>
      <c r="E91" s="53">
        <v>0</v>
      </c>
      <c r="F91" s="53">
        <v>0</v>
      </c>
      <c r="G91" s="776">
        <f t="shared" si="11"/>
        <v>0.51501283724916636</v>
      </c>
      <c r="H91" s="519">
        <f t="shared" si="12"/>
        <v>23.175577676212484</v>
      </c>
      <c r="I91" s="53"/>
      <c r="J91" s="776">
        <f t="shared" si="13"/>
        <v>1.3905346605727491</v>
      </c>
      <c r="K91" s="527">
        <f>'Recycling - Case 1'!Z147</f>
        <v>3436.3360700456424</v>
      </c>
      <c r="L91" s="1209">
        <f t="shared" si="19"/>
        <v>0.1</v>
      </c>
      <c r="M91" s="1209">
        <f t="shared" si="14"/>
        <v>0.9</v>
      </c>
      <c r="N91" s="53">
        <f t="shared" si="15"/>
        <v>0</v>
      </c>
      <c r="O91" s="53">
        <f t="shared" si="15"/>
        <v>0</v>
      </c>
      <c r="P91" s="178">
        <f t="shared" si="16"/>
        <v>0.27490688560365145</v>
      </c>
      <c r="Q91" s="519">
        <f t="shared" si="5"/>
        <v>12.370809852164314</v>
      </c>
      <c r="R91" s="53"/>
      <c r="S91" s="1211">
        <f t="shared" si="6"/>
        <v>0.74224859112985875</v>
      </c>
      <c r="T91" s="1198">
        <f t="shared" si="9"/>
        <v>0.78991972285281786</v>
      </c>
      <c r="U91" s="1199">
        <f t="shared" si="9"/>
        <v>35.546387528376798</v>
      </c>
      <c r="V91" s="1199">
        <f t="shared" si="9"/>
        <v>0</v>
      </c>
      <c r="W91" s="1200">
        <f t="shared" si="9"/>
        <v>2.132783251702608</v>
      </c>
    </row>
    <row r="92" spans="1:23">
      <c r="A92" s="123">
        <f>'Input data'!A128</f>
        <v>2028</v>
      </c>
      <c r="B92" s="1208">
        <f>'Recycling - Case 1'!AI108</f>
        <v>6437.6604656145792</v>
      </c>
      <c r="C92" s="1209">
        <f t="shared" si="18"/>
        <v>0.1</v>
      </c>
      <c r="D92" s="1209">
        <f t="shared" si="10"/>
        <v>0.9</v>
      </c>
      <c r="E92" s="53">
        <v>0</v>
      </c>
      <c r="F92" s="53">
        <v>0</v>
      </c>
      <c r="G92" s="776">
        <f t="shared" si="11"/>
        <v>0.51501283724916636</v>
      </c>
      <c r="H92" s="519">
        <f t="shared" si="12"/>
        <v>23.175577676212484</v>
      </c>
      <c r="I92" s="53"/>
      <c r="J92" s="776">
        <f t="shared" si="13"/>
        <v>1.3905346605727491</v>
      </c>
      <c r="K92" s="527">
        <f>'Recycling - Case 1'!Z148</f>
        <v>3487.0950456185724</v>
      </c>
      <c r="L92" s="1209">
        <f t="shared" si="19"/>
        <v>0.1</v>
      </c>
      <c r="M92" s="1209">
        <f t="shared" si="14"/>
        <v>0.9</v>
      </c>
      <c r="N92" s="53">
        <f t="shared" si="15"/>
        <v>0</v>
      </c>
      <c r="O92" s="53">
        <f t="shared" si="15"/>
        <v>0</v>
      </c>
      <c r="P92" s="178">
        <f t="shared" si="16"/>
        <v>0.27896760364948586</v>
      </c>
      <c r="Q92" s="519">
        <f t="shared" si="5"/>
        <v>12.553542164226862</v>
      </c>
      <c r="R92" s="53"/>
      <c r="S92" s="1211">
        <f t="shared" si="6"/>
        <v>0.75321252985361165</v>
      </c>
      <c r="T92" s="1198">
        <f t="shared" si="9"/>
        <v>0.79398044089865216</v>
      </c>
      <c r="U92" s="1199">
        <f t="shared" si="9"/>
        <v>35.729119840439346</v>
      </c>
      <c r="V92" s="1199">
        <f t="shared" si="9"/>
        <v>0</v>
      </c>
      <c r="W92" s="1200">
        <f t="shared" si="9"/>
        <v>2.1437471904263607</v>
      </c>
    </row>
    <row r="93" spans="1:23">
      <c r="A93" s="123">
        <f>'Input data'!A129</f>
        <v>2029</v>
      </c>
      <c r="B93" s="1208">
        <f>'Recycling - Case 1'!AI109</f>
        <v>6437.6604656145792</v>
      </c>
      <c r="C93" s="1209">
        <f t="shared" si="18"/>
        <v>0.1</v>
      </c>
      <c r="D93" s="1209">
        <f t="shared" si="10"/>
        <v>0.9</v>
      </c>
      <c r="E93" s="53">
        <v>0</v>
      </c>
      <c r="F93" s="53">
        <v>0</v>
      </c>
      <c r="G93" s="776">
        <f t="shared" si="11"/>
        <v>0.51501283724916636</v>
      </c>
      <c r="H93" s="519">
        <f t="shared" si="12"/>
        <v>23.175577676212484</v>
      </c>
      <c r="I93" s="53"/>
      <c r="J93" s="776">
        <f t="shared" si="13"/>
        <v>1.3905346605727491</v>
      </c>
      <c r="K93" s="527">
        <f>'Recycling - Case 1'!Z149</f>
        <v>3550.2801907226872</v>
      </c>
      <c r="L93" s="1209">
        <f t="shared" si="19"/>
        <v>0.1</v>
      </c>
      <c r="M93" s="1209">
        <f t="shared" si="14"/>
        <v>0.9</v>
      </c>
      <c r="N93" s="53">
        <f t="shared" si="15"/>
        <v>0</v>
      </c>
      <c r="O93" s="53">
        <f t="shared" si="15"/>
        <v>0</v>
      </c>
      <c r="P93" s="178">
        <f t="shared" si="16"/>
        <v>0.28402241525781508</v>
      </c>
      <c r="Q93" s="519">
        <f t="shared" si="5"/>
        <v>12.781008686601673</v>
      </c>
      <c r="R93" s="53"/>
      <c r="S93" s="1211">
        <f t="shared" si="6"/>
        <v>0.76686052119610038</v>
      </c>
      <c r="T93" s="1198">
        <f t="shared" si="9"/>
        <v>0.79903525250698149</v>
      </c>
      <c r="U93" s="1199">
        <f t="shared" si="9"/>
        <v>35.956586362814157</v>
      </c>
      <c r="V93" s="1199">
        <f t="shared" si="9"/>
        <v>0</v>
      </c>
      <c r="W93" s="1200">
        <f t="shared" si="9"/>
        <v>2.1573951817688495</v>
      </c>
    </row>
    <row r="94" spans="1:23">
      <c r="A94" s="123">
        <f>'Input data'!A130</f>
        <v>2030</v>
      </c>
      <c r="B94" s="1208">
        <f>'Recycling - Case 1'!AI110</f>
        <v>6437.6604656145792</v>
      </c>
      <c r="C94" s="1209">
        <f t="shared" si="18"/>
        <v>0.1</v>
      </c>
      <c r="D94" s="1209">
        <f t="shared" si="10"/>
        <v>0.9</v>
      </c>
      <c r="E94" s="53">
        <v>0</v>
      </c>
      <c r="F94" s="53">
        <v>0</v>
      </c>
      <c r="G94" s="776">
        <f t="shared" si="11"/>
        <v>0.51501283724916636</v>
      </c>
      <c r="H94" s="519">
        <f t="shared" si="12"/>
        <v>23.175577676212484</v>
      </c>
      <c r="I94" s="53"/>
      <c r="J94" s="776">
        <f t="shared" si="13"/>
        <v>1.3905346605727491</v>
      </c>
      <c r="K94" s="527">
        <f>'Recycling - Case 1'!Z150</f>
        <v>3612.8440237006225</v>
      </c>
      <c r="L94" s="1209">
        <f t="shared" si="19"/>
        <v>0.1</v>
      </c>
      <c r="M94" s="1209">
        <f t="shared" si="14"/>
        <v>0.9</v>
      </c>
      <c r="N94" s="53">
        <f t="shared" si="15"/>
        <v>0</v>
      </c>
      <c r="O94" s="53">
        <f t="shared" si="15"/>
        <v>0</v>
      </c>
      <c r="P94" s="178">
        <f t="shared" si="16"/>
        <v>0.28902752189604985</v>
      </c>
      <c r="Q94" s="519">
        <f t="shared" si="5"/>
        <v>13.006238485322241</v>
      </c>
      <c r="R94" s="53"/>
      <c r="S94" s="1211">
        <f t="shared" si="6"/>
        <v>0.78037430911933447</v>
      </c>
      <c r="T94" s="1198">
        <f t="shared" si="9"/>
        <v>0.80404035914521621</v>
      </c>
      <c r="U94" s="1199">
        <f t="shared" si="9"/>
        <v>36.181816161534726</v>
      </c>
      <c r="V94" s="1199">
        <f t="shared" si="9"/>
        <v>0</v>
      </c>
      <c r="W94" s="1200">
        <f t="shared" si="9"/>
        <v>2.1709089696920838</v>
      </c>
    </row>
    <row r="95" spans="1:23">
      <c r="A95" s="123">
        <f>'Input data'!A131</f>
        <v>2031</v>
      </c>
      <c r="B95" s="1208">
        <f>'Recycling - Case 1'!AI111</f>
        <v>6437.6604656145792</v>
      </c>
      <c r="C95" s="1209">
        <f t="shared" si="18"/>
        <v>0.1</v>
      </c>
      <c r="D95" s="1209">
        <f t="shared" si="10"/>
        <v>0.9</v>
      </c>
      <c r="E95" s="53">
        <v>0</v>
      </c>
      <c r="F95" s="53">
        <v>0</v>
      </c>
      <c r="G95" s="776">
        <f t="shared" si="11"/>
        <v>0.51501283724916636</v>
      </c>
      <c r="H95" s="519">
        <f t="shared" si="12"/>
        <v>23.175577676212484</v>
      </c>
      <c r="I95" s="53"/>
      <c r="J95" s="776">
        <f t="shared" si="13"/>
        <v>1.3905346605727491</v>
      </c>
      <c r="K95" s="527">
        <f>'Recycling - Case 1'!Z151</f>
        <v>3681.1215820084799</v>
      </c>
      <c r="L95" s="1209">
        <f t="shared" si="19"/>
        <v>0.1</v>
      </c>
      <c r="M95" s="1209">
        <f t="shared" si="14"/>
        <v>0.9</v>
      </c>
      <c r="N95" s="53">
        <f t="shared" si="15"/>
        <v>0</v>
      </c>
      <c r="O95" s="53">
        <f t="shared" si="15"/>
        <v>0</v>
      </c>
      <c r="P95" s="178">
        <f t="shared" si="16"/>
        <v>0.29448972656067846</v>
      </c>
      <c r="Q95" s="519">
        <f t="shared" si="5"/>
        <v>13.252037695230529</v>
      </c>
      <c r="R95" s="53"/>
      <c r="S95" s="1211">
        <f t="shared" si="6"/>
        <v>0.79512226171383171</v>
      </c>
      <c r="T95" s="1198">
        <f t="shared" si="9"/>
        <v>0.80950256380984476</v>
      </c>
      <c r="U95" s="1199">
        <f t="shared" si="9"/>
        <v>36.427615371443011</v>
      </c>
      <c r="V95" s="1199">
        <f t="shared" si="9"/>
        <v>0</v>
      </c>
      <c r="W95" s="1200">
        <f t="shared" si="9"/>
        <v>2.1856569222865807</v>
      </c>
    </row>
    <row r="96" spans="1:23">
      <c r="A96" s="123">
        <f>'Input data'!A132</f>
        <v>2032</v>
      </c>
      <c r="B96" s="1208">
        <f>'Recycling - Case 1'!AI112</f>
        <v>6437.6604656145792</v>
      </c>
      <c r="C96" s="1209">
        <f t="shared" si="18"/>
        <v>0.1</v>
      </c>
      <c r="D96" s="1209">
        <f t="shared" si="10"/>
        <v>0.9</v>
      </c>
      <c r="E96" s="53">
        <v>0</v>
      </c>
      <c r="F96" s="53">
        <v>0</v>
      </c>
      <c r="G96" s="776">
        <f t="shared" si="11"/>
        <v>0.51501283724916636</v>
      </c>
      <c r="H96" s="519">
        <f t="shared" si="12"/>
        <v>23.175577676212484</v>
      </c>
      <c r="I96" s="53"/>
      <c r="J96" s="776">
        <f t="shared" si="13"/>
        <v>1.3905346605727491</v>
      </c>
      <c r="K96" s="527">
        <f>'Recycling - Case 1'!Z152</f>
        <v>3761.3857443265993</v>
      </c>
      <c r="L96" s="1209">
        <f t="shared" si="19"/>
        <v>0.1</v>
      </c>
      <c r="M96" s="1209">
        <f t="shared" si="14"/>
        <v>0.9</v>
      </c>
      <c r="N96" s="53">
        <f t="shared" si="15"/>
        <v>0</v>
      </c>
      <c r="O96" s="53">
        <f t="shared" si="15"/>
        <v>0</v>
      </c>
      <c r="P96" s="178">
        <f t="shared" si="16"/>
        <v>0.30091085954612801</v>
      </c>
      <c r="Q96" s="519">
        <f t="shared" si="5"/>
        <v>13.540988679575758</v>
      </c>
      <c r="R96" s="53"/>
      <c r="S96" s="1211">
        <f t="shared" si="6"/>
        <v>0.81245932077454541</v>
      </c>
      <c r="T96" s="1198">
        <f t="shared" si="9"/>
        <v>0.81592369679529431</v>
      </c>
      <c r="U96" s="1199">
        <f t="shared" si="9"/>
        <v>36.716566355788245</v>
      </c>
      <c r="V96" s="1199">
        <f t="shared" si="9"/>
        <v>0</v>
      </c>
      <c r="W96" s="1200">
        <f t="shared" si="9"/>
        <v>2.2029939813472943</v>
      </c>
    </row>
    <row r="97" spans="1:23">
      <c r="A97" s="123">
        <f>'Input data'!A133</f>
        <v>2033</v>
      </c>
      <c r="B97" s="1208">
        <f>'Recycling - Case 1'!AI113</f>
        <v>6437.6604656145792</v>
      </c>
      <c r="C97" s="1209">
        <f t="shared" si="18"/>
        <v>0.1</v>
      </c>
      <c r="D97" s="1209">
        <f t="shared" si="10"/>
        <v>0.9</v>
      </c>
      <c r="E97" s="53">
        <v>0</v>
      </c>
      <c r="F97" s="53">
        <v>0</v>
      </c>
      <c r="G97" s="776">
        <f t="shared" si="11"/>
        <v>0.51501283724916636</v>
      </c>
      <c r="H97" s="519">
        <f t="shared" si="12"/>
        <v>23.175577676212484</v>
      </c>
      <c r="I97" s="53"/>
      <c r="J97" s="776">
        <f t="shared" si="13"/>
        <v>1.3905346605727491</v>
      </c>
      <c r="K97" s="527">
        <f>'Recycling - Case 1'!Z153</f>
        <v>3848.0219164089949</v>
      </c>
      <c r="L97" s="1209">
        <f t="shared" si="19"/>
        <v>0.1</v>
      </c>
      <c r="M97" s="1209">
        <f t="shared" si="14"/>
        <v>0.9</v>
      </c>
      <c r="N97" s="53">
        <f t="shared" si="15"/>
        <v>0</v>
      </c>
      <c r="O97" s="53">
        <f t="shared" si="15"/>
        <v>0</v>
      </c>
      <c r="P97" s="178">
        <f t="shared" si="16"/>
        <v>0.30784175331271968</v>
      </c>
      <c r="Q97" s="519">
        <f t="shared" si="5"/>
        <v>13.852878899072383</v>
      </c>
      <c r="R97" s="53"/>
      <c r="S97" s="1211">
        <f t="shared" si="6"/>
        <v>0.83117273394434288</v>
      </c>
      <c r="T97" s="1198">
        <f t="shared" si="9"/>
        <v>0.82285459056188603</v>
      </c>
      <c r="U97" s="1199">
        <f t="shared" si="9"/>
        <v>37.028456575284864</v>
      </c>
      <c r="V97" s="1199">
        <f t="shared" si="9"/>
        <v>0</v>
      </c>
      <c r="W97" s="1200">
        <f t="shared" si="9"/>
        <v>2.2217073945170922</v>
      </c>
    </row>
    <row r="98" spans="1:23">
      <c r="A98" s="123">
        <f>'Input data'!A134</f>
        <v>2034</v>
      </c>
      <c r="B98" s="1208">
        <f>'Recycling - Case 1'!AI114</f>
        <v>6437.6604656145792</v>
      </c>
      <c r="C98" s="1209">
        <f t="shared" si="18"/>
        <v>0.1</v>
      </c>
      <c r="D98" s="1209">
        <f t="shared" si="10"/>
        <v>0.9</v>
      </c>
      <c r="E98" s="53">
        <v>0</v>
      </c>
      <c r="F98" s="53">
        <v>0</v>
      </c>
      <c r="G98" s="776">
        <f t="shared" si="11"/>
        <v>0.51501283724916636</v>
      </c>
      <c r="H98" s="519">
        <f t="shared" si="12"/>
        <v>23.175577676212484</v>
      </c>
      <c r="I98" s="53"/>
      <c r="J98" s="776">
        <f t="shared" si="13"/>
        <v>1.3905346605727491</v>
      </c>
      <c r="K98" s="527">
        <f>'Recycling - Case 1'!Z154</f>
        <v>3949.1309735819841</v>
      </c>
      <c r="L98" s="1209">
        <f t="shared" si="19"/>
        <v>0.1</v>
      </c>
      <c r="M98" s="1209">
        <f t="shared" si="14"/>
        <v>0.9</v>
      </c>
      <c r="N98" s="53">
        <f t="shared" si="15"/>
        <v>0</v>
      </c>
      <c r="O98" s="53">
        <f t="shared" si="15"/>
        <v>0</v>
      </c>
      <c r="P98" s="178">
        <f t="shared" si="16"/>
        <v>0.31593047788655876</v>
      </c>
      <c r="Q98" s="519">
        <f t="shared" si="5"/>
        <v>14.216871504895144</v>
      </c>
      <c r="R98" s="53"/>
      <c r="S98" s="1211">
        <f t="shared" si="6"/>
        <v>0.85301229029370862</v>
      </c>
      <c r="T98" s="1198">
        <f t="shared" si="9"/>
        <v>0.83094331513572506</v>
      </c>
      <c r="U98" s="1199">
        <f t="shared" si="9"/>
        <v>37.392449181107629</v>
      </c>
      <c r="V98" s="1199">
        <f t="shared" si="9"/>
        <v>0</v>
      </c>
      <c r="W98" s="1200">
        <f t="shared" si="9"/>
        <v>2.2435469508664578</v>
      </c>
    </row>
    <row r="99" spans="1:23">
      <c r="A99" s="123">
        <f>'Input data'!A135</f>
        <v>2035</v>
      </c>
      <c r="B99" s="1208">
        <f>'Recycling - Case 1'!AI115</f>
        <v>6437.6604656145792</v>
      </c>
      <c r="C99" s="1209">
        <f t="shared" si="18"/>
        <v>0.1</v>
      </c>
      <c r="D99" s="1209">
        <f t="shared" si="10"/>
        <v>0.9</v>
      </c>
      <c r="E99" s="53">
        <v>0</v>
      </c>
      <c r="F99" s="53">
        <v>0</v>
      </c>
      <c r="G99" s="776">
        <f t="shared" si="11"/>
        <v>0.51501283724916636</v>
      </c>
      <c r="H99" s="519">
        <f t="shared" si="12"/>
        <v>23.175577676212484</v>
      </c>
      <c r="I99" s="53"/>
      <c r="J99" s="776">
        <f t="shared" si="13"/>
        <v>1.3905346605727491</v>
      </c>
      <c r="K99" s="527">
        <f>'Recycling - Case 1'!Z155</f>
        <v>4030.6704350808041</v>
      </c>
      <c r="L99" s="1209">
        <f t="shared" si="19"/>
        <v>0.1</v>
      </c>
      <c r="M99" s="1209">
        <f t="shared" si="14"/>
        <v>0.9</v>
      </c>
      <c r="N99" s="53">
        <f t="shared" ref="N99:O114" si="20">N97</f>
        <v>0</v>
      </c>
      <c r="O99" s="53">
        <f t="shared" si="20"/>
        <v>0</v>
      </c>
      <c r="P99" s="178">
        <f>L99*$D$5*K99/1000-N99</f>
        <v>0.32245363480646438</v>
      </c>
      <c r="Q99" s="519">
        <f t="shared" si="5"/>
        <v>14.510413566290895</v>
      </c>
      <c r="R99" s="53"/>
      <c r="S99" s="1211">
        <f t="shared" si="6"/>
        <v>0.87062481397745362</v>
      </c>
      <c r="T99" s="1198">
        <f t="shared" si="9"/>
        <v>0.83746647205563074</v>
      </c>
      <c r="U99" s="1199">
        <f t="shared" si="9"/>
        <v>37.685991242503377</v>
      </c>
      <c r="V99" s="1199">
        <f t="shared" si="9"/>
        <v>0</v>
      </c>
      <c r="W99" s="1200">
        <f t="shared" si="9"/>
        <v>2.2611594745502028</v>
      </c>
    </row>
    <row r="100" spans="1:23">
      <c r="A100" s="123">
        <f>'Input data'!A136</f>
        <v>2036</v>
      </c>
      <c r="B100" s="1208">
        <f>'Recycling - Case 1'!AI116</f>
        <v>6437.6604656145792</v>
      </c>
      <c r="C100" s="1209">
        <f t="shared" si="18"/>
        <v>0.1</v>
      </c>
      <c r="D100" s="1209">
        <f t="shared" si="10"/>
        <v>0.9</v>
      </c>
      <c r="E100" s="53">
        <v>0</v>
      </c>
      <c r="F100" s="53">
        <v>0</v>
      </c>
      <c r="G100" s="776">
        <f t="shared" si="11"/>
        <v>0.51501283724916636</v>
      </c>
      <c r="H100" s="519">
        <f t="shared" si="12"/>
        <v>23.175577676212484</v>
      </c>
      <c r="I100" s="53"/>
      <c r="J100" s="776">
        <f>D100*$D$7*B100/1000</f>
        <v>1.3905346605727491</v>
      </c>
      <c r="K100" s="527">
        <f>'Recycling - Case 1'!Z156</f>
        <v>4109.6267789017866</v>
      </c>
      <c r="L100" s="1209">
        <f t="shared" si="19"/>
        <v>0.1</v>
      </c>
      <c r="M100" s="1209">
        <f t="shared" si="14"/>
        <v>0.9</v>
      </c>
      <c r="N100" s="53">
        <f t="shared" si="20"/>
        <v>0</v>
      </c>
      <c r="O100" s="53">
        <f t="shared" si="20"/>
        <v>0</v>
      </c>
      <c r="P100" s="178">
        <f t="shared" si="16"/>
        <v>0.32877014231214297</v>
      </c>
      <c r="Q100" s="519">
        <f t="shared" si="5"/>
        <v>14.794656404046433</v>
      </c>
      <c r="R100" s="53"/>
      <c r="S100" s="1211">
        <f t="shared" si="6"/>
        <v>0.88767938424278592</v>
      </c>
      <c r="T100" s="1198">
        <f t="shared" si="9"/>
        <v>0.84378297956130932</v>
      </c>
      <c r="U100" s="1199">
        <f t="shared" si="9"/>
        <v>37.970234080258919</v>
      </c>
      <c r="V100" s="1199">
        <f t="shared" si="9"/>
        <v>0</v>
      </c>
      <c r="W100" s="1200">
        <f t="shared" si="9"/>
        <v>2.278214044815535</v>
      </c>
    </row>
    <row r="101" spans="1:23">
      <c r="A101" s="123">
        <f>'Input data'!A137</f>
        <v>2037</v>
      </c>
      <c r="B101" s="1208">
        <f>'Recycling - Case 1'!AI117</f>
        <v>6437.6604656145792</v>
      </c>
      <c r="C101" s="1209">
        <f t="shared" si="18"/>
        <v>0.1</v>
      </c>
      <c r="D101" s="1209">
        <f t="shared" si="10"/>
        <v>0.9</v>
      </c>
      <c r="E101" s="53">
        <v>0</v>
      </c>
      <c r="F101" s="53">
        <v>0</v>
      </c>
      <c r="G101" s="776">
        <f t="shared" si="11"/>
        <v>0.51501283724916636</v>
      </c>
      <c r="H101" s="519">
        <f t="shared" si="12"/>
        <v>23.175577676212484</v>
      </c>
      <c r="I101" s="53"/>
      <c r="J101" s="776">
        <f t="shared" si="13"/>
        <v>1.3905346605727491</v>
      </c>
      <c r="K101" s="527">
        <f>'Recycling - Case 1'!Z157</f>
        <v>4197.8517712529874</v>
      </c>
      <c r="L101" s="1209">
        <f t="shared" si="19"/>
        <v>0.1</v>
      </c>
      <c r="M101" s="1209">
        <f t="shared" si="14"/>
        <v>0.9</v>
      </c>
      <c r="N101" s="53">
        <f t="shared" si="20"/>
        <v>0</v>
      </c>
      <c r="O101" s="53">
        <f t="shared" si="20"/>
        <v>0</v>
      </c>
      <c r="P101" s="178">
        <f t="shared" si="16"/>
        <v>0.33582814170023911</v>
      </c>
      <c r="Q101" s="519">
        <f t="shared" si="5"/>
        <v>15.112266376510755</v>
      </c>
      <c r="R101" s="53"/>
      <c r="S101" s="1211">
        <f t="shared" si="6"/>
        <v>0.90673598259064525</v>
      </c>
      <c r="T101" s="1198">
        <f t="shared" si="9"/>
        <v>0.85084097894940547</v>
      </c>
      <c r="U101" s="1199">
        <f t="shared" si="9"/>
        <v>38.287844052723237</v>
      </c>
      <c r="V101" s="1199">
        <f t="shared" si="9"/>
        <v>0</v>
      </c>
      <c r="W101" s="1200">
        <f t="shared" si="9"/>
        <v>2.2972706431633942</v>
      </c>
    </row>
    <row r="102" spans="1:23">
      <c r="A102" s="123">
        <f>'Input data'!A138</f>
        <v>2038</v>
      </c>
      <c r="B102" s="1208">
        <f>'Recycling - Case 1'!AI118</f>
        <v>6437.6604656145792</v>
      </c>
      <c r="C102" s="1209">
        <f t="shared" si="18"/>
        <v>0.1</v>
      </c>
      <c r="D102" s="1209">
        <f t="shared" si="10"/>
        <v>0.9</v>
      </c>
      <c r="E102" s="53">
        <v>0</v>
      </c>
      <c r="F102" s="53">
        <v>0</v>
      </c>
      <c r="G102" s="776">
        <f t="shared" si="11"/>
        <v>0.51501283724916636</v>
      </c>
      <c r="H102" s="519">
        <f t="shared" si="12"/>
        <v>23.175577676212484</v>
      </c>
      <c r="I102" s="53"/>
      <c r="J102" s="776">
        <f t="shared" si="13"/>
        <v>1.3905346605727491</v>
      </c>
      <c r="K102" s="527">
        <f>'Recycling - Case 1'!Z158</f>
        <v>4285.4228841512158</v>
      </c>
      <c r="L102" s="1209">
        <f t="shared" si="19"/>
        <v>0.1</v>
      </c>
      <c r="M102" s="1209">
        <f t="shared" si="14"/>
        <v>0.9</v>
      </c>
      <c r="N102" s="53">
        <f t="shared" si="20"/>
        <v>0</v>
      </c>
      <c r="O102" s="53">
        <f t="shared" si="20"/>
        <v>0</v>
      </c>
      <c r="P102" s="178">
        <f t="shared" si="16"/>
        <v>0.34283383073209733</v>
      </c>
      <c r="Q102" s="519">
        <f t="shared" si="5"/>
        <v>15.427522382944376</v>
      </c>
      <c r="R102" s="53"/>
      <c r="S102" s="1211">
        <f t="shared" si="6"/>
        <v>0.92565134297666263</v>
      </c>
      <c r="T102" s="1198">
        <f t="shared" si="9"/>
        <v>0.85784666798126374</v>
      </c>
      <c r="U102" s="1199">
        <f t="shared" si="9"/>
        <v>38.603100059156858</v>
      </c>
      <c r="V102" s="1199">
        <f t="shared" si="9"/>
        <v>0</v>
      </c>
      <c r="W102" s="1200">
        <f t="shared" si="9"/>
        <v>2.3161860035494115</v>
      </c>
    </row>
    <row r="103" spans="1:23">
      <c r="A103" s="123">
        <f>'Input data'!A139</f>
        <v>2039</v>
      </c>
      <c r="B103" s="1208">
        <f>'Recycling - Case 1'!AI119</f>
        <v>6437.6604656145792</v>
      </c>
      <c r="C103" s="1209">
        <f t="shared" si="18"/>
        <v>0.1</v>
      </c>
      <c r="D103" s="1209">
        <f t="shared" si="10"/>
        <v>0.9</v>
      </c>
      <c r="E103" s="53">
        <v>0</v>
      </c>
      <c r="F103" s="53">
        <v>0</v>
      </c>
      <c r="G103" s="776">
        <f t="shared" si="11"/>
        <v>0.51501283724916636</v>
      </c>
      <c r="H103" s="519">
        <f t="shared" si="12"/>
        <v>23.175577676212484</v>
      </c>
      <c r="I103" s="53"/>
      <c r="J103" s="776">
        <f t="shared" si="13"/>
        <v>1.3905346605727491</v>
      </c>
      <c r="K103" s="527">
        <f>'Recycling - Case 1'!Z159</f>
        <v>4377.5291467721845</v>
      </c>
      <c r="L103" s="1209">
        <f t="shared" si="19"/>
        <v>0.1</v>
      </c>
      <c r="M103" s="1209">
        <f t="shared" si="14"/>
        <v>0.9</v>
      </c>
      <c r="N103" s="53">
        <f t="shared" si="20"/>
        <v>0</v>
      </c>
      <c r="O103" s="53">
        <f t="shared" si="20"/>
        <v>0</v>
      </c>
      <c r="P103" s="178">
        <f t="shared" si="16"/>
        <v>0.35020233174177484</v>
      </c>
      <c r="Q103" s="519">
        <f t="shared" si="5"/>
        <v>15.759104928379864</v>
      </c>
      <c r="R103" s="53"/>
      <c r="S103" s="1211">
        <f t="shared" si="6"/>
        <v>0.94554629570279192</v>
      </c>
      <c r="T103" s="1198">
        <f t="shared" si="9"/>
        <v>0.8652151689909412</v>
      </c>
      <c r="U103" s="1199">
        <f t="shared" si="9"/>
        <v>38.934682604592346</v>
      </c>
      <c r="V103" s="1199">
        <f t="shared" si="9"/>
        <v>0</v>
      </c>
      <c r="W103" s="1200">
        <f t="shared" si="9"/>
        <v>2.3360809562755409</v>
      </c>
    </row>
    <row r="104" spans="1:23">
      <c r="A104" s="123">
        <f>'Input data'!A140</f>
        <v>2040</v>
      </c>
      <c r="B104" s="1208">
        <f>'Recycling - Case 1'!AI120</f>
        <v>6437.6604656145792</v>
      </c>
      <c r="C104" s="1209">
        <f t="shared" si="18"/>
        <v>0.1</v>
      </c>
      <c r="D104" s="1209">
        <f t="shared" si="10"/>
        <v>0.9</v>
      </c>
      <c r="E104" s="53">
        <v>0</v>
      </c>
      <c r="F104" s="53">
        <v>0</v>
      </c>
      <c r="G104" s="776">
        <f t="shared" si="11"/>
        <v>0.51501283724916636</v>
      </c>
      <c r="H104" s="519">
        <f t="shared" si="12"/>
        <v>23.175577676212484</v>
      </c>
      <c r="I104" s="53"/>
      <c r="J104" s="776">
        <f t="shared" si="13"/>
        <v>1.3905346605727491</v>
      </c>
      <c r="K104" s="527">
        <f>'Recycling - Case 1'!Z160</f>
        <v>4470.8013872684305</v>
      </c>
      <c r="L104" s="1209">
        <f t="shared" si="19"/>
        <v>0.1</v>
      </c>
      <c r="M104" s="1209">
        <f t="shared" si="14"/>
        <v>0.9</v>
      </c>
      <c r="N104" s="53">
        <f t="shared" si="20"/>
        <v>0</v>
      </c>
      <c r="O104" s="53">
        <f t="shared" si="20"/>
        <v>0</v>
      </c>
      <c r="P104" s="178">
        <f t="shared" si="16"/>
        <v>0.35766411098147449</v>
      </c>
      <c r="Q104" s="519">
        <f t="shared" si="5"/>
        <v>16.09488499416635</v>
      </c>
      <c r="R104" s="53"/>
      <c r="S104" s="1211">
        <f t="shared" si="6"/>
        <v>0.96569309964998107</v>
      </c>
      <c r="T104" s="1198">
        <f t="shared" si="9"/>
        <v>0.8726769482306409</v>
      </c>
      <c r="U104" s="1199">
        <f t="shared" si="9"/>
        <v>39.270462670378834</v>
      </c>
      <c r="V104" s="1199">
        <f t="shared" si="9"/>
        <v>0</v>
      </c>
      <c r="W104" s="1200">
        <f t="shared" si="9"/>
        <v>2.3562277602227302</v>
      </c>
    </row>
    <row r="105" spans="1:23">
      <c r="A105" s="123">
        <f>'Input data'!A141</f>
        <v>2041</v>
      </c>
      <c r="B105" s="1208">
        <f>'Recycling - Case 1'!AI121</f>
        <v>6437.6604656145792</v>
      </c>
      <c r="C105" s="1209">
        <f t="shared" si="18"/>
        <v>0.1</v>
      </c>
      <c r="D105" s="1209">
        <f t="shared" si="10"/>
        <v>0.9</v>
      </c>
      <c r="E105" s="53">
        <v>0</v>
      </c>
      <c r="F105" s="53">
        <v>0</v>
      </c>
      <c r="G105" s="776">
        <f t="shared" si="11"/>
        <v>0.51501283724916636</v>
      </c>
      <c r="H105" s="519">
        <f t="shared" si="12"/>
        <v>23.175577676212484</v>
      </c>
      <c r="I105" s="53"/>
      <c r="J105" s="776">
        <f t="shared" si="13"/>
        <v>1.3905346605727491</v>
      </c>
      <c r="K105" s="527">
        <f>'Recycling - Case 1'!Z161</f>
        <v>4573.4101876873783</v>
      </c>
      <c r="L105" s="1209">
        <f t="shared" si="19"/>
        <v>0.1</v>
      </c>
      <c r="M105" s="1209">
        <f t="shared" si="14"/>
        <v>0.9</v>
      </c>
      <c r="N105" s="53">
        <f t="shared" si="20"/>
        <v>0</v>
      </c>
      <c r="O105" s="53">
        <f t="shared" si="20"/>
        <v>0</v>
      </c>
      <c r="P105" s="178">
        <f t="shared" si="16"/>
        <v>0.36587281501499036</v>
      </c>
      <c r="Q105" s="519">
        <f t="shared" si="5"/>
        <v>16.464276675674562</v>
      </c>
      <c r="R105" s="53"/>
      <c r="S105" s="1211">
        <f t="shared" si="6"/>
        <v>0.98785660054047364</v>
      </c>
      <c r="T105" s="1198">
        <f t="shared" si="9"/>
        <v>0.88088565226415672</v>
      </c>
      <c r="U105" s="1199">
        <f t="shared" si="9"/>
        <v>39.639854351887045</v>
      </c>
      <c r="V105" s="1199">
        <f t="shared" si="9"/>
        <v>0</v>
      </c>
      <c r="W105" s="1200">
        <f t="shared" si="9"/>
        <v>2.3783912611132227</v>
      </c>
    </row>
    <row r="106" spans="1:23">
      <c r="A106" s="123">
        <f>'Input data'!A142</f>
        <v>2042</v>
      </c>
      <c r="B106" s="1208">
        <f>'Recycling - Case 1'!AI122</f>
        <v>6437.6604656145792</v>
      </c>
      <c r="C106" s="1209">
        <f t="shared" si="18"/>
        <v>0.1</v>
      </c>
      <c r="D106" s="1209">
        <f t="shared" si="10"/>
        <v>0.9</v>
      </c>
      <c r="E106" s="53">
        <v>0</v>
      </c>
      <c r="F106" s="53">
        <v>0</v>
      </c>
      <c r="G106" s="776">
        <f t="shared" si="11"/>
        <v>0.51501283724916636</v>
      </c>
      <c r="H106" s="519">
        <f t="shared" si="12"/>
        <v>23.175577676212484</v>
      </c>
      <c r="I106" s="53"/>
      <c r="J106" s="776">
        <f t="shared" si="13"/>
        <v>1.3905346605727491</v>
      </c>
      <c r="K106" s="527">
        <f>'Recycling - Case 1'!Z162</f>
        <v>4673.052237396033</v>
      </c>
      <c r="L106" s="1209">
        <f t="shared" si="19"/>
        <v>0.1</v>
      </c>
      <c r="M106" s="1209">
        <f t="shared" si="14"/>
        <v>0.9</v>
      </c>
      <c r="N106" s="53">
        <f t="shared" si="20"/>
        <v>0</v>
      </c>
      <c r="O106" s="53">
        <f t="shared" si="20"/>
        <v>0</v>
      </c>
      <c r="P106" s="178">
        <f t="shared" si="16"/>
        <v>0.37384417899168271</v>
      </c>
      <c r="Q106" s="519">
        <f t="shared" si="5"/>
        <v>16.822988054625718</v>
      </c>
      <c r="R106" s="53"/>
      <c r="S106" s="1211">
        <f t="shared" si="6"/>
        <v>1.009379283277543</v>
      </c>
      <c r="T106" s="1198">
        <f t="shared" si="9"/>
        <v>0.88885701624084912</v>
      </c>
      <c r="U106" s="1199">
        <f t="shared" si="9"/>
        <v>39.998565730838202</v>
      </c>
      <c r="V106" s="1199">
        <f t="shared" si="9"/>
        <v>0</v>
      </c>
      <c r="W106" s="1200">
        <f t="shared" si="9"/>
        <v>2.3999139438502919</v>
      </c>
    </row>
    <row r="107" spans="1:23">
      <c r="A107" s="123">
        <f>'Input data'!A143</f>
        <v>2043</v>
      </c>
      <c r="B107" s="1208">
        <f>'Recycling - Case 1'!AI123</f>
        <v>6437.6604656145792</v>
      </c>
      <c r="C107" s="1209">
        <f t="shared" si="18"/>
        <v>0.1</v>
      </c>
      <c r="D107" s="1209">
        <f t="shared" si="10"/>
        <v>0.9</v>
      </c>
      <c r="E107" s="53">
        <v>0</v>
      </c>
      <c r="F107" s="53">
        <v>0</v>
      </c>
      <c r="G107" s="776">
        <f t="shared" si="11"/>
        <v>0.51501283724916636</v>
      </c>
      <c r="H107" s="519">
        <f t="shared" si="12"/>
        <v>23.175577676212484</v>
      </c>
      <c r="I107" s="53"/>
      <c r="J107" s="776">
        <f t="shared" si="13"/>
        <v>1.3905346605727491</v>
      </c>
      <c r="K107" s="527">
        <f>'Recycling - Case 1'!Z163</f>
        <v>4774.8796293139649</v>
      </c>
      <c r="L107" s="1209">
        <f t="shared" si="19"/>
        <v>0.1</v>
      </c>
      <c r="M107" s="1209">
        <f t="shared" si="14"/>
        <v>0.9</v>
      </c>
      <c r="N107" s="53">
        <f t="shared" si="20"/>
        <v>0</v>
      </c>
      <c r="O107" s="53">
        <f t="shared" si="20"/>
        <v>0</v>
      </c>
      <c r="P107" s="178">
        <f t="shared" si="16"/>
        <v>0.38199037034511724</v>
      </c>
      <c r="Q107" s="519">
        <f t="shared" si="5"/>
        <v>17.189566665530275</v>
      </c>
      <c r="R107" s="53"/>
      <c r="S107" s="1211">
        <f t="shared" si="6"/>
        <v>1.0313739999318163</v>
      </c>
      <c r="T107" s="1198">
        <f t="shared" si="9"/>
        <v>0.89700320759428354</v>
      </c>
      <c r="U107" s="1199">
        <f t="shared" si="9"/>
        <v>40.365144341742763</v>
      </c>
      <c r="V107" s="1199">
        <f t="shared" si="9"/>
        <v>0</v>
      </c>
      <c r="W107" s="1200">
        <f t="shared" si="9"/>
        <v>2.4219086605045654</v>
      </c>
    </row>
    <row r="108" spans="1:23">
      <c r="A108" s="123">
        <f>'Input data'!A144</f>
        <v>2044</v>
      </c>
      <c r="B108" s="1208">
        <f>'Recycling - Case 1'!AI124</f>
        <v>6437.6604656145792</v>
      </c>
      <c r="C108" s="1209">
        <f t="shared" si="18"/>
        <v>0.1</v>
      </c>
      <c r="D108" s="1209">
        <f t="shared" si="10"/>
        <v>0.9</v>
      </c>
      <c r="E108" s="53">
        <v>0</v>
      </c>
      <c r="F108" s="53">
        <v>0</v>
      </c>
      <c r="G108" s="776">
        <f t="shared" si="11"/>
        <v>0.51501283724916636</v>
      </c>
      <c r="H108" s="519">
        <f t="shared" si="12"/>
        <v>23.175577676212484</v>
      </c>
      <c r="I108" s="53"/>
      <c r="J108" s="776">
        <f t="shared" si="13"/>
        <v>1.3905346605727491</v>
      </c>
      <c r="K108" s="527">
        <f>'Recycling - Case 1'!Z164</f>
        <v>4880.2790721144393</v>
      </c>
      <c r="L108" s="1209">
        <f t="shared" si="19"/>
        <v>0.1</v>
      </c>
      <c r="M108" s="1209">
        <f t="shared" si="14"/>
        <v>0.9</v>
      </c>
      <c r="N108" s="53">
        <f t="shared" si="20"/>
        <v>0</v>
      </c>
      <c r="O108" s="53">
        <f t="shared" si="20"/>
        <v>0</v>
      </c>
      <c r="P108" s="178">
        <f t="shared" si="16"/>
        <v>0.39042232576915525</v>
      </c>
      <c r="Q108" s="519">
        <f t="shared" si="5"/>
        <v>17.569004659611984</v>
      </c>
      <c r="R108" s="53"/>
      <c r="S108" s="1211">
        <f t="shared" si="6"/>
        <v>1.054140279576719</v>
      </c>
      <c r="T108" s="1198">
        <f t="shared" si="9"/>
        <v>0.90543516301832161</v>
      </c>
      <c r="U108" s="1199">
        <f t="shared" si="9"/>
        <v>40.744582335824468</v>
      </c>
      <c r="V108" s="1199">
        <f t="shared" si="9"/>
        <v>0</v>
      </c>
      <c r="W108" s="1200">
        <f t="shared" si="9"/>
        <v>2.4446749401494681</v>
      </c>
    </row>
    <row r="109" spans="1:23">
      <c r="A109" s="123">
        <f>'Input data'!A145</f>
        <v>2045</v>
      </c>
      <c r="B109" s="1208">
        <f>'Recycling - Case 1'!AI125</f>
        <v>6437.6604656145792</v>
      </c>
      <c r="C109" s="1209">
        <f t="shared" si="18"/>
        <v>0.1</v>
      </c>
      <c r="D109" s="1209">
        <f t="shared" si="10"/>
        <v>0.9</v>
      </c>
      <c r="E109" s="53">
        <v>0</v>
      </c>
      <c r="F109" s="53">
        <v>0</v>
      </c>
      <c r="G109" s="776">
        <f t="shared" si="11"/>
        <v>0.51501283724916636</v>
      </c>
      <c r="H109" s="519">
        <f t="shared" si="12"/>
        <v>23.175577676212484</v>
      </c>
      <c r="I109" s="53"/>
      <c r="J109" s="776">
        <f t="shared" si="13"/>
        <v>1.3905346605727491</v>
      </c>
      <c r="K109" s="527">
        <f>'Recycling - Case 1'!Z165</f>
        <v>4989.8209734474995</v>
      </c>
      <c r="L109" s="1209">
        <f t="shared" si="19"/>
        <v>0.1</v>
      </c>
      <c r="M109" s="1209">
        <f t="shared" si="14"/>
        <v>0.9</v>
      </c>
      <c r="N109" s="53">
        <f t="shared" si="20"/>
        <v>0</v>
      </c>
      <c r="O109" s="53">
        <f t="shared" si="20"/>
        <v>0</v>
      </c>
      <c r="P109" s="178">
        <f t="shared" si="16"/>
        <v>0.3991856778758</v>
      </c>
      <c r="Q109" s="519">
        <f t="shared" si="5"/>
        <v>17.963355504410998</v>
      </c>
      <c r="R109" s="53"/>
      <c r="S109" s="1211">
        <f t="shared" si="6"/>
        <v>1.0778013302646599</v>
      </c>
      <c r="T109" s="1198">
        <f t="shared" si="9"/>
        <v>0.9141985151249663</v>
      </c>
      <c r="U109" s="1199">
        <f t="shared" si="9"/>
        <v>41.138933180623482</v>
      </c>
      <c r="V109" s="1199">
        <f t="shared" si="9"/>
        <v>0</v>
      </c>
      <c r="W109" s="1200">
        <f t="shared" si="9"/>
        <v>2.4683359908374092</v>
      </c>
    </row>
    <row r="110" spans="1:23">
      <c r="A110" s="123">
        <f>'Input data'!A146</f>
        <v>2046</v>
      </c>
      <c r="B110" s="1208">
        <f>'Recycling - Case 1'!AI126</f>
        <v>6437.6604656145792</v>
      </c>
      <c r="C110" s="1209">
        <f t="shared" si="18"/>
        <v>0.1</v>
      </c>
      <c r="D110" s="1209">
        <f t="shared" si="10"/>
        <v>0.9</v>
      </c>
      <c r="E110" s="53">
        <v>0</v>
      </c>
      <c r="F110" s="53">
        <v>0</v>
      </c>
      <c r="G110" s="776">
        <f t="shared" si="11"/>
        <v>0.51501283724916636</v>
      </c>
      <c r="H110" s="519">
        <f t="shared" si="12"/>
        <v>23.175577676212484</v>
      </c>
      <c r="I110" s="53"/>
      <c r="J110" s="776">
        <f t="shared" si="13"/>
        <v>1.3905346605727491</v>
      </c>
      <c r="K110" s="527">
        <f>'Recycling - Case 1'!Z166</f>
        <v>5111.6211020205074</v>
      </c>
      <c r="L110" s="1209">
        <f t="shared" si="19"/>
        <v>0.1</v>
      </c>
      <c r="M110" s="1209">
        <f t="shared" si="14"/>
        <v>0.9</v>
      </c>
      <c r="N110" s="53">
        <f t="shared" si="20"/>
        <v>0</v>
      </c>
      <c r="O110" s="53">
        <f t="shared" si="20"/>
        <v>0</v>
      </c>
      <c r="P110" s="178">
        <f t="shared" si="16"/>
        <v>0.40892968816164066</v>
      </c>
      <c r="Q110" s="519">
        <f t="shared" si="5"/>
        <v>18.401835967273826</v>
      </c>
      <c r="R110" s="53"/>
      <c r="S110" s="1211">
        <f t="shared" si="6"/>
        <v>1.1041101580364296</v>
      </c>
      <c r="T110" s="1198">
        <f t="shared" si="9"/>
        <v>0.92394252541080701</v>
      </c>
      <c r="U110" s="1199">
        <f t="shared" si="9"/>
        <v>41.57741364348631</v>
      </c>
      <c r="V110" s="1199">
        <f t="shared" si="9"/>
        <v>0</v>
      </c>
      <c r="W110" s="1200">
        <f t="shared" si="9"/>
        <v>2.4946448186091787</v>
      </c>
    </row>
    <row r="111" spans="1:23">
      <c r="A111" s="123">
        <f>'Input data'!A147</f>
        <v>2047</v>
      </c>
      <c r="B111" s="1208">
        <f>'Recycling - Case 1'!AI127</f>
        <v>6437.6604656145792</v>
      </c>
      <c r="C111" s="1209">
        <f t="shared" si="18"/>
        <v>0.1</v>
      </c>
      <c r="D111" s="1209">
        <f t="shared" si="10"/>
        <v>0.9</v>
      </c>
      <c r="E111" s="53">
        <v>0</v>
      </c>
      <c r="F111" s="53">
        <v>0</v>
      </c>
      <c r="G111" s="776">
        <f t="shared" si="11"/>
        <v>0.51501283724916636</v>
      </c>
      <c r="H111" s="519">
        <f t="shared" si="12"/>
        <v>23.175577676212484</v>
      </c>
      <c r="I111" s="53"/>
      <c r="J111" s="776">
        <f t="shared" si="13"/>
        <v>1.3905346605727491</v>
      </c>
      <c r="K111" s="527">
        <f>'Recycling - Case 1'!Z167</f>
        <v>5199.0583729432956</v>
      </c>
      <c r="L111" s="1209">
        <f t="shared" si="19"/>
        <v>0.1</v>
      </c>
      <c r="M111" s="1209">
        <f t="shared" si="14"/>
        <v>0.9</v>
      </c>
      <c r="N111" s="53">
        <f t="shared" si="20"/>
        <v>0</v>
      </c>
      <c r="O111" s="53">
        <f t="shared" si="20"/>
        <v>0</v>
      </c>
      <c r="P111" s="178">
        <f t="shared" si="16"/>
        <v>0.41592466983546372</v>
      </c>
      <c r="Q111" s="519">
        <f t="shared" si="5"/>
        <v>18.716610142595865</v>
      </c>
      <c r="R111" s="53"/>
      <c r="S111" s="1211">
        <f t="shared" si="6"/>
        <v>1.1229966085557519</v>
      </c>
      <c r="T111" s="1198">
        <f t="shared" si="9"/>
        <v>0.93093750708463008</v>
      </c>
      <c r="U111" s="1199">
        <f t="shared" si="9"/>
        <v>41.892187818808353</v>
      </c>
      <c r="V111" s="1199">
        <f t="shared" si="9"/>
        <v>0</v>
      </c>
      <c r="W111" s="1200">
        <f t="shared" si="9"/>
        <v>2.5135312691285012</v>
      </c>
    </row>
    <row r="112" spans="1:23">
      <c r="A112" s="123">
        <f>'Input data'!A148</f>
        <v>2048</v>
      </c>
      <c r="B112" s="1208">
        <f>'Recycling - Case 1'!AI128</f>
        <v>6437.6604656145792</v>
      </c>
      <c r="C112" s="1209">
        <f t="shared" si="18"/>
        <v>0.1</v>
      </c>
      <c r="D112" s="1209">
        <f t="shared" si="10"/>
        <v>0.9</v>
      </c>
      <c r="E112" s="53">
        <v>0</v>
      </c>
      <c r="F112" s="53">
        <v>0</v>
      </c>
      <c r="G112" s="776">
        <f t="shared" si="11"/>
        <v>0.51501283724916636</v>
      </c>
      <c r="H112" s="519">
        <f t="shared" si="12"/>
        <v>23.175577676212484</v>
      </c>
      <c r="I112" s="53"/>
      <c r="J112" s="776">
        <f t="shared" si="13"/>
        <v>1.3905346605727491</v>
      </c>
      <c r="K112" s="527">
        <f>'Recycling - Case 1'!Z168</f>
        <v>5289.613511597383</v>
      </c>
      <c r="L112" s="1209">
        <f t="shared" si="19"/>
        <v>0.1</v>
      </c>
      <c r="M112" s="1209">
        <f t="shared" si="14"/>
        <v>0.9</v>
      </c>
      <c r="N112" s="53">
        <f t="shared" si="20"/>
        <v>0</v>
      </c>
      <c r="O112" s="53">
        <f t="shared" si="20"/>
        <v>0</v>
      </c>
      <c r="P112" s="178">
        <f t="shared" si="16"/>
        <v>0.42316908092779071</v>
      </c>
      <c r="Q112" s="519">
        <f t="shared" si="5"/>
        <v>19.042608641750579</v>
      </c>
      <c r="R112" s="53"/>
      <c r="S112" s="1211">
        <f t="shared" si="6"/>
        <v>1.1425565185050348</v>
      </c>
      <c r="T112" s="1198">
        <f t="shared" si="9"/>
        <v>0.93818191817695706</v>
      </c>
      <c r="U112" s="1199">
        <f t="shared" si="9"/>
        <v>42.21818631796306</v>
      </c>
      <c r="V112" s="1199">
        <f t="shared" si="9"/>
        <v>0</v>
      </c>
      <c r="W112" s="1200">
        <f t="shared" si="9"/>
        <v>2.5330911790777839</v>
      </c>
    </row>
    <row r="113" spans="1:23">
      <c r="A113" s="123">
        <f>'Input data'!A149</f>
        <v>2049</v>
      </c>
      <c r="B113" s="1208">
        <f>'Recycling - Case 1'!AI129</f>
        <v>6437.6604656145792</v>
      </c>
      <c r="C113" s="1209">
        <f t="shared" si="18"/>
        <v>0.1</v>
      </c>
      <c r="D113" s="1209">
        <f t="shared" si="10"/>
        <v>0.9</v>
      </c>
      <c r="E113" s="53">
        <v>0</v>
      </c>
      <c r="F113" s="53">
        <v>0</v>
      </c>
      <c r="G113" s="776">
        <f t="shared" si="11"/>
        <v>0.51501283724916636</v>
      </c>
      <c r="H113" s="519">
        <f t="shared" si="12"/>
        <v>23.175577676212484</v>
      </c>
      <c r="I113" s="53"/>
      <c r="J113" s="776">
        <f t="shared" si="13"/>
        <v>1.3905346605727491</v>
      </c>
      <c r="K113" s="527">
        <f>'Recycling - Case 1'!Z169</f>
        <v>5377.5009175276673</v>
      </c>
      <c r="L113" s="1209">
        <f t="shared" si="19"/>
        <v>0.1</v>
      </c>
      <c r="M113" s="1209">
        <f t="shared" si="14"/>
        <v>0.9</v>
      </c>
      <c r="N113" s="53">
        <f t="shared" si="20"/>
        <v>0</v>
      </c>
      <c r="O113" s="53">
        <f t="shared" si="20"/>
        <v>0</v>
      </c>
      <c r="P113" s="776">
        <f t="shared" si="8"/>
        <v>0.4302000734022135</v>
      </c>
      <c r="Q113" s="519">
        <f t="shared" si="5"/>
        <v>19.359003303099602</v>
      </c>
      <c r="R113" s="53"/>
      <c r="S113" s="1211">
        <f t="shared" si="6"/>
        <v>1.1615401981859761</v>
      </c>
      <c r="T113" s="1198">
        <f t="shared" si="9"/>
        <v>0.9452129106513798</v>
      </c>
      <c r="U113" s="1199">
        <f t="shared" si="9"/>
        <v>42.534580979312082</v>
      </c>
      <c r="V113" s="1199">
        <f t="shared" si="9"/>
        <v>0</v>
      </c>
      <c r="W113" s="1200">
        <f t="shared" si="9"/>
        <v>2.5520748587587252</v>
      </c>
    </row>
    <row r="114" spans="1:23" ht="15.75" thickBot="1">
      <c r="A114" s="123">
        <f>'Input data'!A150</f>
        <v>2050</v>
      </c>
      <c r="B114" s="1208">
        <f>'Recycling - Case 1'!AI130</f>
        <v>6437.6604656145792</v>
      </c>
      <c r="C114" s="578">
        <f t="shared" si="18"/>
        <v>0.1</v>
      </c>
      <c r="D114" s="578">
        <f t="shared" si="10"/>
        <v>0.9</v>
      </c>
      <c r="E114" s="1212">
        <v>0</v>
      </c>
      <c r="F114" s="1212">
        <v>0</v>
      </c>
      <c r="G114" s="776">
        <f t="shared" si="11"/>
        <v>0.51501283724916636</v>
      </c>
      <c r="H114" s="519">
        <f t="shared" si="12"/>
        <v>23.175577676212484</v>
      </c>
      <c r="I114" s="1212"/>
      <c r="J114" s="1213">
        <f t="shared" si="13"/>
        <v>1.3905346605727491</v>
      </c>
      <c r="K114" s="527">
        <f>'Recycling - Case 1'!Z170</f>
        <v>5465.916608694276</v>
      </c>
      <c r="L114" s="578">
        <f t="shared" si="19"/>
        <v>0.1</v>
      </c>
      <c r="M114" s="578">
        <f t="shared" si="14"/>
        <v>0.9</v>
      </c>
      <c r="N114" s="1212">
        <f t="shared" si="20"/>
        <v>0</v>
      </c>
      <c r="O114" s="1212">
        <f t="shared" si="20"/>
        <v>0</v>
      </c>
      <c r="P114" s="1213">
        <f t="shared" si="8"/>
        <v>0.43727332869554214</v>
      </c>
      <c r="Q114" s="1144">
        <f t="shared" si="5"/>
        <v>19.677299791299394</v>
      </c>
      <c r="R114" s="1212"/>
      <c r="S114" s="1214">
        <f t="shared" si="6"/>
        <v>1.1806379874779636</v>
      </c>
      <c r="T114" s="1215">
        <f t="shared" si="9"/>
        <v>0.9522861659447085</v>
      </c>
      <c r="U114" s="1216">
        <f t="shared" si="9"/>
        <v>42.852877467511874</v>
      </c>
      <c r="V114" s="1216">
        <f t="shared" si="9"/>
        <v>0</v>
      </c>
      <c r="W114" s="1217">
        <f t="shared" si="9"/>
        <v>2.5711726480507124</v>
      </c>
    </row>
    <row r="115" spans="1:23">
      <c r="A115" s="1202" t="s">
        <v>641</v>
      </c>
      <c r="B115" s="1203"/>
      <c r="C115" s="1218"/>
      <c r="D115" s="1218"/>
      <c r="E115" s="1219"/>
      <c r="F115" s="1219"/>
      <c r="G115" s="1220"/>
      <c r="H115" s="1221"/>
      <c r="I115" s="1222"/>
      <c r="J115" s="1220"/>
      <c r="K115" s="1223"/>
      <c r="L115" s="1218"/>
      <c r="M115" s="1218"/>
      <c r="N115" s="1219"/>
      <c r="O115" s="1219"/>
      <c r="P115" s="1220"/>
      <c r="Q115" s="1221"/>
      <c r="R115" s="1219"/>
      <c r="S115" s="1224"/>
      <c r="T115" s="1194"/>
      <c r="U115" s="1195"/>
      <c r="V115" s="1195"/>
      <c r="W115" s="1196"/>
    </row>
    <row r="116" spans="1:23">
      <c r="A116" s="123">
        <f>'Input data'!A118</f>
        <v>2018</v>
      </c>
      <c r="B116" s="1208">
        <f>'Recycling - Case 1'!AI98</f>
        <v>3707.5235423427162</v>
      </c>
      <c r="C116" s="1209">
        <f>($C$120-$C$80)/($A$120-$A$80)+C80</f>
        <v>6.0000000000000005E-2</v>
      </c>
      <c r="D116" s="1209">
        <f>1-C116</f>
        <v>0.94</v>
      </c>
      <c r="E116" s="53">
        <v>0</v>
      </c>
      <c r="F116" s="53">
        <v>0</v>
      </c>
      <c r="G116" s="776">
        <f>C116*$D$5*B116/1000-E116</f>
        <v>0.1779611300324504</v>
      </c>
      <c r="H116" s="519">
        <f>D116*$D$4*B116/1000-F116</f>
        <v>13.940288519208613</v>
      </c>
      <c r="I116" s="53"/>
      <c r="J116" s="776">
        <f>D116*$D$7*B116/1000</f>
        <v>0.83641731115251661</v>
      </c>
      <c r="K116" s="1210">
        <f>'Recycling - Case 1'!Z178</f>
        <v>1789.9687605419947</v>
      </c>
      <c r="L116" s="1209">
        <f>($L$120-$L$80)/($A$120-$A$80)+L80</f>
        <v>0.1</v>
      </c>
      <c r="M116" s="1209">
        <f>1-L116</f>
        <v>0.9</v>
      </c>
      <c r="N116" s="53">
        <f>N114</f>
        <v>0</v>
      </c>
      <c r="O116" s="53">
        <f>O114</f>
        <v>0</v>
      </c>
      <c r="P116" s="776">
        <f>L116*$D$5*K116/1000-N116</f>
        <v>0.14319750084335958</v>
      </c>
      <c r="Q116" s="519">
        <f t="shared" ref="Q116:Q148" si="21">M116*$D$4*K116/1000-O116</f>
        <v>6.4438875379511806</v>
      </c>
      <c r="R116" s="53"/>
      <c r="S116" s="1211">
        <f t="shared" ref="S116:S148" si="22">M116*$D$7*K116/1000</f>
        <v>0.38663325227707085</v>
      </c>
      <c r="T116" s="1198">
        <f t="shared" ref="T116:W148" si="23">G116+P116</f>
        <v>0.32115863087580998</v>
      </c>
      <c r="U116" s="1199">
        <f t="shared" si="23"/>
        <v>20.384176057159792</v>
      </c>
      <c r="V116" s="1199">
        <f t="shared" si="23"/>
        <v>0</v>
      </c>
      <c r="W116" s="1200">
        <f t="shared" si="23"/>
        <v>1.2230505634295874</v>
      </c>
    </row>
    <row r="117" spans="1:23">
      <c r="A117" s="123">
        <f>'Input data'!A119</f>
        <v>2019</v>
      </c>
      <c r="B117" s="1208">
        <f>'Recycling - Case 1'!AI99</f>
        <v>4010.8720893729233</v>
      </c>
      <c r="C117" s="1209">
        <f>($C$120-$C$80)/($A$120-$A$80)+C116</f>
        <v>7.0000000000000007E-2</v>
      </c>
      <c r="D117" s="1209">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0">
        <f>'Recycling - Case 1'!Z179</f>
        <v>2562.551002317176</v>
      </c>
      <c r="L117" s="1209">
        <f>($L$120-$L$80)/($A$120-$A$80)+L116</f>
        <v>0.1</v>
      </c>
      <c r="M117" s="1209">
        <f t="shared" ref="M117:M148" si="28">1-L117</f>
        <v>0.9</v>
      </c>
      <c r="N117" s="53">
        <f t="shared" ref="N117:O132" si="29">N115</f>
        <v>0</v>
      </c>
      <c r="O117" s="53">
        <f t="shared" si="29"/>
        <v>0</v>
      </c>
      <c r="P117" s="776">
        <f>L117*$D$5*K117/1000-N117</f>
        <v>0.20500408018537411</v>
      </c>
      <c r="Q117" s="519">
        <f t="shared" si="21"/>
        <v>9.2251836083418333</v>
      </c>
      <c r="R117" s="53"/>
      <c r="S117" s="1211">
        <f t="shared" si="22"/>
        <v>0.55351101650050993</v>
      </c>
      <c r="T117" s="1198">
        <f t="shared" si="23"/>
        <v>0.42961291719025785</v>
      </c>
      <c r="U117" s="1199">
        <f t="shared" si="23"/>
        <v>24.145627780809107</v>
      </c>
      <c r="V117" s="1199">
        <f t="shared" si="23"/>
        <v>0</v>
      </c>
      <c r="W117" s="1200">
        <f t="shared" si="23"/>
        <v>1.4487376668485463</v>
      </c>
    </row>
    <row r="118" spans="1:23">
      <c r="A118" s="123">
        <f>'Input data'!A120</f>
        <v>2020</v>
      </c>
      <c r="B118" s="1208">
        <f>'Recycling - Case 1'!AI100</f>
        <v>4314.2206364031299</v>
      </c>
      <c r="C118" s="1209">
        <f t="shared" ref="C118:C119" si="30">($C$120-$C$80)/($A$120-$A$80)+C117</f>
        <v>0.08</v>
      </c>
      <c r="D118" s="1209">
        <f t="shared" si="24"/>
        <v>0.92</v>
      </c>
      <c r="E118" s="53">
        <v>0</v>
      </c>
      <c r="F118" s="53">
        <v>0</v>
      </c>
      <c r="G118" s="776">
        <f t="shared" si="25"/>
        <v>0.27611012072980029</v>
      </c>
      <c r="H118" s="519">
        <f t="shared" si="26"/>
        <v>15.876331941963519</v>
      </c>
      <c r="I118" s="53"/>
      <c r="J118" s="776">
        <f t="shared" si="27"/>
        <v>0.95257991651781104</v>
      </c>
      <c r="K118" s="1210">
        <f>'Recycling - Case 1'!Z180</f>
        <v>2485.4449375303884</v>
      </c>
      <c r="L118" s="1209">
        <f t="shared" ref="L118:L119" si="31">($L$120-$L$80)/($A$120-$A$80)+L117</f>
        <v>0.1</v>
      </c>
      <c r="M118" s="1209">
        <f t="shared" si="28"/>
        <v>0.9</v>
      </c>
      <c r="N118" s="53">
        <f t="shared" si="29"/>
        <v>0</v>
      </c>
      <c r="O118" s="53">
        <f t="shared" si="29"/>
        <v>0</v>
      </c>
      <c r="P118" s="776">
        <f t="shared" ref="P118:P148" si="32">L118*$D$5*K118/1000-N118</f>
        <v>0.19883559500243111</v>
      </c>
      <c r="Q118" s="519">
        <f t="shared" si="21"/>
        <v>8.9476017751093995</v>
      </c>
      <c r="R118" s="53"/>
      <c r="S118" s="1211">
        <f t="shared" si="22"/>
        <v>0.5368561065065639</v>
      </c>
      <c r="T118" s="1198">
        <f t="shared" si="23"/>
        <v>0.47494571573223143</v>
      </c>
      <c r="U118" s="1199">
        <f t="shared" si="23"/>
        <v>24.823933717072919</v>
      </c>
      <c r="V118" s="1199">
        <f t="shared" si="23"/>
        <v>0</v>
      </c>
      <c r="W118" s="1200">
        <f t="shared" si="23"/>
        <v>1.4894360230243748</v>
      </c>
    </row>
    <row r="119" spans="1:23">
      <c r="A119" s="123">
        <f>'Input data'!A121</f>
        <v>2021</v>
      </c>
      <c r="B119" s="1208">
        <f>'Recycling - Case 1'!AI101</f>
        <v>4617.5691834333375</v>
      </c>
      <c r="C119" s="1209">
        <f t="shared" si="30"/>
        <v>0.09</v>
      </c>
      <c r="D119" s="1209">
        <f t="shared" si="24"/>
        <v>0.91</v>
      </c>
      <c r="E119" s="53">
        <v>0</v>
      </c>
      <c r="F119" s="53">
        <v>0</v>
      </c>
      <c r="G119" s="776">
        <f t="shared" si="25"/>
        <v>0.33246498120720025</v>
      </c>
      <c r="H119" s="519">
        <f t="shared" si="26"/>
        <v>16.807951827697352</v>
      </c>
      <c r="I119" s="53"/>
      <c r="J119" s="776">
        <f t="shared" si="27"/>
        <v>1.008477109661841</v>
      </c>
      <c r="K119" s="1210">
        <f>'Recycling - Case 1'!Z181</f>
        <v>2634.8523232226207</v>
      </c>
      <c r="L119" s="1209">
        <f t="shared" si="31"/>
        <v>0.1</v>
      </c>
      <c r="M119" s="1209">
        <f t="shared" si="28"/>
        <v>0.9</v>
      </c>
      <c r="N119" s="53">
        <f t="shared" si="29"/>
        <v>0</v>
      </c>
      <c r="O119" s="53">
        <f t="shared" si="29"/>
        <v>0</v>
      </c>
      <c r="P119" s="776">
        <f t="shared" si="32"/>
        <v>0.2107881858578097</v>
      </c>
      <c r="Q119" s="519">
        <f t="shared" si="21"/>
        <v>9.4854683636014343</v>
      </c>
      <c r="R119" s="53"/>
      <c r="S119" s="1211">
        <f t="shared" si="22"/>
        <v>0.56912810181608608</v>
      </c>
      <c r="T119" s="1198">
        <f t="shared" si="23"/>
        <v>0.54325316706500992</v>
      </c>
      <c r="U119" s="1199">
        <f t="shared" si="23"/>
        <v>26.293420191298786</v>
      </c>
      <c r="V119" s="1199">
        <f t="shared" si="23"/>
        <v>0</v>
      </c>
      <c r="W119" s="1200">
        <f t="shared" si="23"/>
        <v>1.5776052114779271</v>
      </c>
    </row>
    <row r="120" spans="1:23">
      <c r="A120" s="123">
        <f>'Input data'!A122</f>
        <v>2022</v>
      </c>
      <c r="B120" s="1208">
        <f>'Recycling - Case 1'!AI102</f>
        <v>4920.9177304635441</v>
      </c>
      <c r="C120" s="1209">
        <f>'Recycling - Case 1'!C31</f>
        <v>0.1</v>
      </c>
      <c r="D120" s="1209">
        <f t="shared" si="24"/>
        <v>0.9</v>
      </c>
      <c r="E120" s="53">
        <v>0</v>
      </c>
      <c r="F120" s="53">
        <v>0</v>
      </c>
      <c r="G120" s="776">
        <f t="shared" si="25"/>
        <v>0.39367341843708364</v>
      </c>
      <c r="H120" s="519">
        <f t="shared" si="26"/>
        <v>17.715303829668759</v>
      </c>
      <c r="I120" s="53"/>
      <c r="J120" s="776">
        <f t="shared" si="27"/>
        <v>1.0629182297801256</v>
      </c>
      <c r="K120" s="1210">
        <f>'Recycling - Case 1'!Z182</f>
        <v>2769.8273208059522</v>
      </c>
      <c r="L120" s="1209">
        <f>'Recycling - Case 1'!C31</f>
        <v>0.1</v>
      </c>
      <c r="M120" s="1209">
        <f t="shared" si="28"/>
        <v>0.9</v>
      </c>
      <c r="N120" s="53">
        <f t="shared" si="29"/>
        <v>0</v>
      </c>
      <c r="O120" s="53">
        <f t="shared" si="29"/>
        <v>0</v>
      </c>
      <c r="P120" s="776">
        <f t="shared" si="32"/>
        <v>0.22158618566447624</v>
      </c>
      <c r="Q120" s="519">
        <f t="shared" si="21"/>
        <v>9.9713783549014288</v>
      </c>
      <c r="R120" s="53"/>
      <c r="S120" s="1211">
        <f t="shared" si="22"/>
        <v>0.59828270129408567</v>
      </c>
      <c r="T120" s="1198">
        <f t="shared" si="23"/>
        <v>0.61525960410155989</v>
      </c>
      <c r="U120" s="1199">
        <f t="shared" si="23"/>
        <v>27.686682184570188</v>
      </c>
      <c r="V120" s="1199">
        <f t="shared" si="23"/>
        <v>0</v>
      </c>
      <c r="W120" s="1200">
        <f t="shared" si="23"/>
        <v>1.6612009310742113</v>
      </c>
    </row>
    <row r="121" spans="1:23">
      <c r="A121" s="123">
        <f>'Input data'!A123</f>
        <v>2023</v>
      </c>
      <c r="B121" s="1208">
        <f>'Recycling - Case 1'!AI103</f>
        <v>5224.2662774937517</v>
      </c>
      <c r="C121" s="1209">
        <f>C120</f>
        <v>0.1</v>
      </c>
      <c r="D121" s="1209">
        <f t="shared" si="24"/>
        <v>0.9</v>
      </c>
      <c r="E121" s="53">
        <v>0</v>
      </c>
      <c r="F121" s="53">
        <v>0</v>
      </c>
      <c r="G121" s="776">
        <f t="shared" si="25"/>
        <v>0.41794130219950021</v>
      </c>
      <c r="H121" s="519">
        <f t="shared" si="26"/>
        <v>18.807358598977505</v>
      </c>
      <c r="I121" s="53"/>
      <c r="J121" s="776">
        <f t="shared" si="27"/>
        <v>1.1284415159386503</v>
      </c>
      <c r="K121" s="1210">
        <f>'Recycling - Case 1'!Z183</f>
        <v>2901.5128257327401</v>
      </c>
      <c r="L121" s="1209">
        <f>L120</f>
        <v>0.1</v>
      </c>
      <c r="M121" s="1209">
        <f t="shared" si="28"/>
        <v>0.9</v>
      </c>
      <c r="N121" s="53">
        <f t="shared" si="29"/>
        <v>0</v>
      </c>
      <c r="O121" s="53">
        <f t="shared" si="29"/>
        <v>0</v>
      </c>
      <c r="P121" s="776">
        <f t="shared" si="32"/>
        <v>0.23212102605861926</v>
      </c>
      <c r="Q121" s="519">
        <f t="shared" si="21"/>
        <v>10.445446172637865</v>
      </c>
      <c r="R121" s="53"/>
      <c r="S121" s="1211">
        <f t="shared" si="22"/>
        <v>0.62672677035827185</v>
      </c>
      <c r="T121" s="1198">
        <f t="shared" si="23"/>
        <v>0.65006232825811949</v>
      </c>
      <c r="U121" s="1199">
        <f t="shared" si="23"/>
        <v>29.25280477161537</v>
      </c>
      <c r="V121" s="1199">
        <f t="shared" si="23"/>
        <v>0</v>
      </c>
      <c r="W121" s="1200">
        <f t="shared" si="23"/>
        <v>1.755168286296922</v>
      </c>
    </row>
    <row r="122" spans="1:23">
      <c r="A122" s="123">
        <f>'Input data'!A124</f>
        <v>2024</v>
      </c>
      <c r="B122" s="1208">
        <f>'Recycling - Case 1'!AI104</f>
        <v>5527.6148245239583</v>
      </c>
      <c r="C122" s="1209">
        <f t="shared" ref="C122:C148" si="33">C121</f>
        <v>0.1</v>
      </c>
      <c r="D122" s="1209">
        <f t="shared" si="24"/>
        <v>0.9</v>
      </c>
      <c r="E122" s="53">
        <v>0</v>
      </c>
      <c r="F122" s="53">
        <v>0</v>
      </c>
      <c r="G122" s="776">
        <f t="shared" si="25"/>
        <v>0.44220918596191677</v>
      </c>
      <c r="H122" s="519">
        <f t="shared" si="26"/>
        <v>19.89941336828625</v>
      </c>
      <c r="I122" s="53"/>
      <c r="J122" s="776">
        <f t="shared" si="27"/>
        <v>1.1939648020971749</v>
      </c>
      <c r="K122" s="1210">
        <f>'Recycling - Case 1'!Z184</f>
        <v>3040.7547406827407</v>
      </c>
      <c r="L122" s="1209">
        <f t="shared" ref="L122:L148" si="34">L121</f>
        <v>0.1</v>
      </c>
      <c r="M122" s="1209">
        <f t="shared" si="28"/>
        <v>0.9</v>
      </c>
      <c r="N122" s="53">
        <f t="shared" si="29"/>
        <v>0</v>
      </c>
      <c r="O122" s="53">
        <f t="shared" si="29"/>
        <v>0</v>
      </c>
      <c r="P122" s="776">
        <f t="shared" si="32"/>
        <v>0.2432603792546193</v>
      </c>
      <c r="Q122" s="519">
        <f t="shared" si="21"/>
        <v>10.946717066457866</v>
      </c>
      <c r="R122" s="53"/>
      <c r="S122" s="1211">
        <f t="shared" si="22"/>
        <v>0.65680302398747203</v>
      </c>
      <c r="T122" s="1198">
        <f t="shared" si="23"/>
        <v>0.68546956521653613</v>
      </c>
      <c r="U122" s="1199">
        <f t="shared" si="23"/>
        <v>30.846130434744119</v>
      </c>
      <c r="V122" s="1199">
        <f t="shared" si="23"/>
        <v>0</v>
      </c>
      <c r="W122" s="1200">
        <f t="shared" si="23"/>
        <v>1.850767826084647</v>
      </c>
    </row>
    <row r="123" spans="1:23">
      <c r="A123" s="123">
        <f>'Input data'!A125</f>
        <v>2025</v>
      </c>
      <c r="B123" s="1208">
        <f>'Recycling - Case 1'!AI105</f>
        <v>5830.9633715541659</v>
      </c>
      <c r="C123" s="1209">
        <f t="shared" si="33"/>
        <v>0.1</v>
      </c>
      <c r="D123" s="1209">
        <f t="shared" si="24"/>
        <v>0.9</v>
      </c>
      <c r="E123" s="53">
        <v>0</v>
      </c>
      <c r="F123" s="53">
        <v>0</v>
      </c>
      <c r="G123" s="776">
        <f t="shared" si="25"/>
        <v>0.46647706972433339</v>
      </c>
      <c r="H123" s="519">
        <f t="shared" si="26"/>
        <v>20.991468137595</v>
      </c>
      <c r="I123" s="53"/>
      <c r="J123" s="776">
        <f t="shared" si="27"/>
        <v>1.2594880882556998</v>
      </c>
      <c r="K123" s="1210">
        <f>'Recycling - Case 1'!Z185</f>
        <v>3177.0967729303602</v>
      </c>
      <c r="L123" s="1209">
        <f t="shared" si="34"/>
        <v>0.1</v>
      </c>
      <c r="M123" s="1209">
        <f t="shared" si="28"/>
        <v>0.9</v>
      </c>
      <c r="N123" s="53">
        <f t="shared" si="29"/>
        <v>0</v>
      </c>
      <c r="O123" s="53">
        <f t="shared" si="29"/>
        <v>0</v>
      </c>
      <c r="P123" s="776">
        <f t="shared" si="32"/>
        <v>0.25416774183442886</v>
      </c>
      <c r="Q123" s="519">
        <f t="shared" si="21"/>
        <v>11.437548382549297</v>
      </c>
      <c r="R123" s="53"/>
      <c r="S123" s="1211">
        <f t="shared" si="22"/>
        <v>0.68625290295295782</v>
      </c>
      <c r="T123" s="1198">
        <f t="shared" si="23"/>
        <v>0.72064481155876225</v>
      </c>
      <c r="U123" s="1199">
        <f t="shared" si="23"/>
        <v>32.429016520144295</v>
      </c>
      <c r="V123" s="1199">
        <f t="shared" si="23"/>
        <v>0</v>
      </c>
      <c r="W123" s="1200">
        <f t="shared" si="23"/>
        <v>1.9457409912086576</v>
      </c>
    </row>
    <row r="124" spans="1:23">
      <c r="A124" s="123">
        <f>'Input data'!A126</f>
        <v>2026</v>
      </c>
      <c r="B124" s="1208">
        <f>'Recycling - Case 1'!AI106</f>
        <v>6134.3119185843725</v>
      </c>
      <c r="C124" s="1209">
        <f t="shared" si="33"/>
        <v>0.1</v>
      </c>
      <c r="D124" s="1209">
        <f t="shared" si="24"/>
        <v>0.9</v>
      </c>
      <c r="E124" s="53">
        <v>0</v>
      </c>
      <c r="F124" s="53">
        <v>0</v>
      </c>
      <c r="G124" s="776">
        <f t="shared" si="25"/>
        <v>0.4907449534867499</v>
      </c>
      <c r="H124" s="519">
        <f t="shared" si="26"/>
        <v>22.083522906903742</v>
      </c>
      <c r="I124" s="53"/>
      <c r="J124" s="776">
        <f t="shared" si="27"/>
        <v>1.3250113744142245</v>
      </c>
      <c r="K124" s="1210">
        <f>'Recycling - Case 1'!Z186</f>
        <v>3307.5979165508688</v>
      </c>
      <c r="L124" s="1209">
        <f t="shared" si="34"/>
        <v>0.1</v>
      </c>
      <c r="M124" s="1209">
        <f t="shared" si="28"/>
        <v>0.9</v>
      </c>
      <c r="N124" s="53">
        <f t="shared" si="29"/>
        <v>0</v>
      </c>
      <c r="O124" s="53">
        <f t="shared" si="29"/>
        <v>0</v>
      </c>
      <c r="P124" s="776">
        <f t="shared" si="32"/>
        <v>0.26460783332406951</v>
      </c>
      <c r="Q124" s="519">
        <f t="shared" si="21"/>
        <v>11.907352499583128</v>
      </c>
      <c r="R124" s="53"/>
      <c r="S124" s="1211">
        <f t="shared" si="22"/>
        <v>0.71444114997498764</v>
      </c>
      <c r="T124" s="1198">
        <f t="shared" si="23"/>
        <v>0.75535278681081941</v>
      </c>
      <c r="U124" s="1199">
        <f t="shared" si="23"/>
        <v>33.990875406486872</v>
      </c>
      <c r="V124" s="1199">
        <f t="shared" si="23"/>
        <v>0</v>
      </c>
      <c r="W124" s="1200">
        <f t="shared" si="23"/>
        <v>2.0394525243892119</v>
      </c>
    </row>
    <row r="125" spans="1:23">
      <c r="A125" s="123">
        <f>'Input data'!A127</f>
        <v>2027</v>
      </c>
      <c r="B125" s="1208">
        <f>'Recycling - Case 1'!AI107</f>
        <v>6437.6604656145792</v>
      </c>
      <c r="C125" s="1209">
        <f t="shared" si="33"/>
        <v>0.1</v>
      </c>
      <c r="D125" s="1209">
        <f t="shared" si="24"/>
        <v>0.9</v>
      </c>
      <c r="E125" s="53">
        <v>0</v>
      </c>
      <c r="F125" s="53">
        <v>0</v>
      </c>
      <c r="G125" s="776">
        <f t="shared" si="25"/>
        <v>0.51501283724916636</v>
      </c>
      <c r="H125" s="519">
        <f t="shared" si="26"/>
        <v>23.175577676212484</v>
      </c>
      <c r="I125" s="53"/>
      <c r="J125" s="776">
        <f t="shared" si="27"/>
        <v>1.3905346605727491</v>
      </c>
      <c r="K125" s="1210">
        <f>'Recycling - Case 1'!Z187</f>
        <v>3436.3360700456424</v>
      </c>
      <c r="L125" s="1209">
        <f t="shared" si="34"/>
        <v>0.1</v>
      </c>
      <c r="M125" s="1209">
        <f t="shared" si="28"/>
        <v>0.9</v>
      </c>
      <c r="N125" s="53">
        <f t="shared" si="29"/>
        <v>0</v>
      </c>
      <c r="O125" s="53">
        <f t="shared" si="29"/>
        <v>0</v>
      </c>
      <c r="P125" s="776">
        <f t="shared" si="32"/>
        <v>0.27490688560365145</v>
      </c>
      <c r="Q125" s="519">
        <f t="shared" si="21"/>
        <v>12.370809852164314</v>
      </c>
      <c r="R125" s="53"/>
      <c r="S125" s="1211">
        <f t="shared" si="22"/>
        <v>0.74224859112985875</v>
      </c>
      <c r="T125" s="1198">
        <f t="shared" si="23"/>
        <v>0.78991972285281786</v>
      </c>
      <c r="U125" s="1199">
        <f t="shared" si="23"/>
        <v>35.546387528376798</v>
      </c>
      <c r="V125" s="1199">
        <f t="shared" si="23"/>
        <v>0</v>
      </c>
      <c r="W125" s="1200">
        <f t="shared" si="23"/>
        <v>2.132783251702608</v>
      </c>
    </row>
    <row r="126" spans="1:23">
      <c r="A126" s="123">
        <f>'Input data'!A128</f>
        <v>2028</v>
      </c>
      <c r="B126" s="1208">
        <f>'Recycling - Case 1'!AI108</f>
        <v>6437.6604656145792</v>
      </c>
      <c r="C126" s="1209">
        <f t="shared" si="33"/>
        <v>0.1</v>
      </c>
      <c r="D126" s="1209">
        <f t="shared" si="24"/>
        <v>0.9</v>
      </c>
      <c r="E126" s="53">
        <v>0</v>
      </c>
      <c r="F126" s="53">
        <v>0</v>
      </c>
      <c r="G126" s="776">
        <f t="shared" si="25"/>
        <v>0.51501283724916636</v>
      </c>
      <c r="H126" s="519">
        <f t="shared" si="26"/>
        <v>23.175577676212484</v>
      </c>
      <c r="I126" s="53"/>
      <c r="J126" s="776">
        <f t="shared" si="27"/>
        <v>1.3905346605727491</v>
      </c>
      <c r="K126" s="1210">
        <f>'Recycling - Case 1'!Z188</f>
        <v>3487.0950456185724</v>
      </c>
      <c r="L126" s="1209">
        <f t="shared" si="34"/>
        <v>0.1</v>
      </c>
      <c r="M126" s="1209">
        <f t="shared" si="28"/>
        <v>0.9</v>
      </c>
      <c r="N126" s="53">
        <f t="shared" si="29"/>
        <v>0</v>
      </c>
      <c r="O126" s="53">
        <f t="shared" si="29"/>
        <v>0</v>
      </c>
      <c r="P126" s="776">
        <f t="shared" si="32"/>
        <v>0.27896760364948586</v>
      </c>
      <c r="Q126" s="519">
        <f t="shared" si="21"/>
        <v>12.553542164226862</v>
      </c>
      <c r="R126" s="53"/>
      <c r="S126" s="1211">
        <f t="shared" si="22"/>
        <v>0.75321252985361165</v>
      </c>
      <c r="T126" s="1198">
        <f t="shared" si="23"/>
        <v>0.79398044089865216</v>
      </c>
      <c r="U126" s="1199">
        <f t="shared" si="23"/>
        <v>35.729119840439346</v>
      </c>
      <c r="V126" s="1199">
        <f t="shared" si="23"/>
        <v>0</v>
      </c>
      <c r="W126" s="1200">
        <f t="shared" si="23"/>
        <v>2.1437471904263607</v>
      </c>
    </row>
    <row r="127" spans="1:23">
      <c r="A127" s="123">
        <f>'Input data'!A129</f>
        <v>2029</v>
      </c>
      <c r="B127" s="1208">
        <f>'Recycling - Case 1'!AI109</f>
        <v>6437.6604656145792</v>
      </c>
      <c r="C127" s="1209">
        <f t="shared" si="33"/>
        <v>0.1</v>
      </c>
      <c r="D127" s="1209">
        <f t="shared" si="24"/>
        <v>0.9</v>
      </c>
      <c r="E127" s="53">
        <v>0</v>
      </c>
      <c r="F127" s="53">
        <v>0</v>
      </c>
      <c r="G127" s="776">
        <f t="shared" si="25"/>
        <v>0.51501283724916636</v>
      </c>
      <c r="H127" s="519">
        <f t="shared" si="26"/>
        <v>23.175577676212484</v>
      </c>
      <c r="I127" s="53"/>
      <c r="J127" s="776">
        <f t="shared" si="27"/>
        <v>1.3905346605727491</v>
      </c>
      <c r="K127" s="1210">
        <f>'Recycling - Case 1'!Z189</f>
        <v>3550.2801907226872</v>
      </c>
      <c r="L127" s="1209">
        <f t="shared" si="34"/>
        <v>0.1</v>
      </c>
      <c r="M127" s="1209">
        <f t="shared" si="28"/>
        <v>0.9</v>
      </c>
      <c r="N127" s="53">
        <f t="shared" si="29"/>
        <v>0</v>
      </c>
      <c r="O127" s="53">
        <f t="shared" si="29"/>
        <v>0</v>
      </c>
      <c r="P127" s="776">
        <f t="shared" si="32"/>
        <v>0.28402241525781508</v>
      </c>
      <c r="Q127" s="519">
        <f t="shared" si="21"/>
        <v>12.781008686601673</v>
      </c>
      <c r="R127" s="53"/>
      <c r="S127" s="1211">
        <f t="shared" si="22"/>
        <v>0.76686052119610038</v>
      </c>
      <c r="T127" s="1198">
        <f t="shared" si="23"/>
        <v>0.79903525250698149</v>
      </c>
      <c r="U127" s="1199">
        <f t="shared" si="23"/>
        <v>35.956586362814157</v>
      </c>
      <c r="V127" s="1199">
        <f t="shared" si="23"/>
        <v>0</v>
      </c>
      <c r="W127" s="1200">
        <f t="shared" si="23"/>
        <v>2.1573951817688495</v>
      </c>
    </row>
    <row r="128" spans="1:23">
      <c r="A128" s="123">
        <f>'Input data'!A130</f>
        <v>2030</v>
      </c>
      <c r="B128" s="1208">
        <f>'Recycling - Case 1'!AI110</f>
        <v>6437.6604656145792</v>
      </c>
      <c r="C128" s="1209">
        <f t="shared" si="33"/>
        <v>0.1</v>
      </c>
      <c r="D128" s="1209">
        <f t="shared" si="24"/>
        <v>0.9</v>
      </c>
      <c r="E128" s="53">
        <v>0</v>
      </c>
      <c r="F128" s="53">
        <v>0</v>
      </c>
      <c r="G128" s="776">
        <f t="shared" si="25"/>
        <v>0.51501283724916636</v>
      </c>
      <c r="H128" s="519">
        <f t="shared" si="26"/>
        <v>23.175577676212484</v>
      </c>
      <c r="I128" s="53"/>
      <c r="J128" s="776">
        <f t="shared" si="27"/>
        <v>1.3905346605727491</v>
      </c>
      <c r="K128" s="1210">
        <f>'Recycling - Case 1'!Z190</f>
        <v>3612.8440237006225</v>
      </c>
      <c r="L128" s="1209">
        <f t="shared" si="34"/>
        <v>0.1</v>
      </c>
      <c r="M128" s="1209">
        <f t="shared" si="28"/>
        <v>0.9</v>
      </c>
      <c r="N128" s="53">
        <f t="shared" si="29"/>
        <v>0</v>
      </c>
      <c r="O128" s="53">
        <f t="shared" si="29"/>
        <v>0</v>
      </c>
      <c r="P128" s="776">
        <f t="shared" si="32"/>
        <v>0.28902752189604985</v>
      </c>
      <c r="Q128" s="519">
        <f t="shared" si="21"/>
        <v>13.006238485322241</v>
      </c>
      <c r="R128" s="53"/>
      <c r="S128" s="1211">
        <f t="shared" si="22"/>
        <v>0.78037430911933447</v>
      </c>
      <c r="T128" s="1198">
        <f t="shared" si="23"/>
        <v>0.80404035914521621</v>
      </c>
      <c r="U128" s="1199">
        <f t="shared" si="23"/>
        <v>36.181816161534726</v>
      </c>
      <c r="V128" s="1199">
        <f t="shared" si="23"/>
        <v>0</v>
      </c>
      <c r="W128" s="1200">
        <f t="shared" si="23"/>
        <v>2.1709089696920838</v>
      </c>
    </row>
    <row r="129" spans="1:23">
      <c r="A129" s="123">
        <f>'Input data'!A131</f>
        <v>2031</v>
      </c>
      <c r="B129" s="1208">
        <f>'Recycling - Case 1'!AI111</f>
        <v>6437.6604656145792</v>
      </c>
      <c r="C129" s="1209">
        <f t="shared" si="33"/>
        <v>0.1</v>
      </c>
      <c r="D129" s="1209">
        <f t="shared" si="24"/>
        <v>0.9</v>
      </c>
      <c r="E129" s="53">
        <v>0</v>
      </c>
      <c r="F129" s="53">
        <v>0</v>
      </c>
      <c r="G129" s="776">
        <f t="shared" si="25"/>
        <v>0.51501283724916636</v>
      </c>
      <c r="H129" s="519">
        <f t="shared" si="26"/>
        <v>23.175577676212484</v>
      </c>
      <c r="I129" s="53"/>
      <c r="J129" s="776">
        <f t="shared" si="27"/>
        <v>1.3905346605727491</v>
      </c>
      <c r="K129" s="1210">
        <f>'Recycling - Case 1'!Z191</f>
        <v>3681.1215820084799</v>
      </c>
      <c r="L129" s="1209">
        <f t="shared" si="34"/>
        <v>0.1</v>
      </c>
      <c r="M129" s="1209">
        <f t="shared" si="28"/>
        <v>0.9</v>
      </c>
      <c r="N129" s="53">
        <f t="shared" si="29"/>
        <v>0</v>
      </c>
      <c r="O129" s="53">
        <f t="shared" si="29"/>
        <v>0</v>
      </c>
      <c r="P129" s="776">
        <f t="shared" si="32"/>
        <v>0.29448972656067846</v>
      </c>
      <c r="Q129" s="519">
        <f t="shared" si="21"/>
        <v>13.252037695230529</v>
      </c>
      <c r="R129" s="53"/>
      <c r="S129" s="1211">
        <f t="shared" si="22"/>
        <v>0.79512226171383171</v>
      </c>
      <c r="T129" s="1198">
        <f t="shared" si="23"/>
        <v>0.80950256380984476</v>
      </c>
      <c r="U129" s="1199">
        <f t="shared" si="23"/>
        <v>36.427615371443011</v>
      </c>
      <c r="V129" s="1199">
        <f t="shared" si="23"/>
        <v>0</v>
      </c>
      <c r="W129" s="1200">
        <f t="shared" si="23"/>
        <v>2.1856569222865807</v>
      </c>
    </row>
    <row r="130" spans="1:23">
      <c r="A130" s="123">
        <f>'Input data'!A132</f>
        <v>2032</v>
      </c>
      <c r="B130" s="1208">
        <f>'Recycling - Case 1'!AI112</f>
        <v>6437.6604656145792</v>
      </c>
      <c r="C130" s="1209">
        <f t="shared" si="33"/>
        <v>0.1</v>
      </c>
      <c r="D130" s="1209">
        <f t="shared" si="24"/>
        <v>0.9</v>
      </c>
      <c r="E130" s="53">
        <v>0</v>
      </c>
      <c r="F130" s="53">
        <v>0</v>
      </c>
      <c r="G130" s="776">
        <f t="shared" si="25"/>
        <v>0.51501283724916636</v>
      </c>
      <c r="H130" s="519">
        <f t="shared" si="26"/>
        <v>23.175577676212484</v>
      </c>
      <c r="I130" s="53"/>
      <c r="J130" s="776">
        <f t="shared" si="27"/>
        <v>1.3905346605727491</v>
      </c>
      <c r="K130" s="1210">
        <f>'Recycling - Case 1'!Z192</f>
        <v>3761.3857443265993</v>
      </c>
      <c r="L130" s="1209">
        <f t="shared" si="34"/>
        <v>0.1</v>
      </c>
      <c r="M130" s="1209">
        <f t="shared" si="28"/>
        <v>0.9</v>
      </c>
      <c r="N130" s="53">
        <f t="shared" si="29"/>
        <v>0</v>
      </c>
      <c r="O130" s="53">
        <f t="shared" si="29"/>
        <v>0</v>
      </c>
      <c r="P130" s="776">
        <f t="shared" si="32"/>
        <v>0.30091085954612801</v>
      </c>
      <c r="Q130" s="519">
        <f t="shared" si="21"/>
        <v>13.540988679575758</v>
      </c>
      <c r="R130" s="53"/>
      <c r="S130" s="1211">
        <f t="shared" si="22"/>
        <v>0.81245932077454541</v>
      </c>
      <c r="T130" s="1198">
        <f t="shared" si="23"/>
        <v>0.81592369679529431</v>
      </c>
      <c r="U130" s="1199">
        <f t="shared" si="23"/>
        <v>36.716566355788245</v>
      </c>
      <c r="V130" s="1199">
        <f t="shared" si="23"/>
        <v>0</v>
      </c>
      <c r="W130" s="1200">
        <f t="shared" si="23"/>
        <v>2.2029939813472943</v>
      </c>
    </row>
    <row r="131" spans="1:23">
      <c r="A131" s="123">
        <f>'Input data'!A133</f>
        <v>2033</v>
      </c>
      <c r="B131" s="1208">
        <f>'Recycling - Case 1'!AI113</f>
        <v>6437.6604656145792</v>
      </c>
      <c r="C131" s="1209">
        <f t="shared" si="33"/>
        <v>0.1</v>
      </c>
      <c r="D131" s="1209">
        <f t="shared" si="24"/>
        <v>0.9</v>
      </c>
      <c r="E131" s="53">
        <v>0</v>
      </c>
      <c r="F131" s="53">
        <v>0</v>
      </c>
      <c r="G131" s="776">
        <f t="shared" si="25"/>
        <v>0.51501283724916636</v>
      </c>
      <c r="H131" s="519">
        <f t="shared" si="26"/>
        <v>23.175577676212484</v>
      </c>
      <c r="I131" s="53"/>
      <c r="J131" s="776">
        <f t="shared" si="27"/>
        <v>1.3905346605727491</v>
      </c>
      <c r="K131" s="1210">
        <f>'Recycling - Case 1'!Z193</f>
        <v>3848.0219164089949</v>
      </c>
      <c r="L131" s="1209">
        <f t="shared" si="34"/>
        <v>0.1</v>
      </c>
      <c r="M131" s="1209">
        <f t="shared" si="28"/>
        <v>0.9</v>
      </c>
      <c r="N131" s="53">
        <f t="shared" si="29"/>
        <v>0</v>
      </c>
      <c r="O131" s="53">
        <f t="shared" si="29"/>
        <v>0</v>
      </c>
      <c r="P131" s="776">
        <f t="shared" si="32"/>
        <v>0.30784175331271968</v>
      </c>
      <c r="Q131" s="519">
        <f t="shared" si="21"/>
        <v>13.852878899072383</v>
      </c>
      <c r="R131" s="53"/>
      <c r="S131" s="1211">
        <f t="shared" si="22"/>
        <v>0.83117273394434288</v>
      </c>
      <c r="T131" s="1198">
        <f t="shared" si="23"/>
        <v>0.82285459056188603</v>
      </c>
      <c r="U131" s="1199">
        <f t="shared" si="23"/>
        <v>37.028456575284864</v>
      </c>
      <c r="V131" s="1199">
        <f t="shared" si="23"/>
        <v>0</v>
      </c>
      <c r="W131" s="1200">
        <f t="shared" si="23"/>
        <v>2.2217073945170922</v>
      </c>
    </row>
    <row r="132" spans="1:23">
      <c r="A132" s="123">
        <f>'Input data'!A134</f>
        <v>2034</v>
      </c>
      <c r="B132" s="1208">
        <f>'Recycling - Case 1'!AI114</f>
        <v>6437.6604656145792</v>
      </c>
      <c r="C132" s="1209">
        <f t="shared" si="33"/>
        <v>0.1</v>
      </c>
      <c r="D132" s="1209">
        <f t="shared" si="24"/>
        <v>0.9</v>
      </c>
      <c r="E132" s="53">
        <v>0</v>
      </c>
      <c r="F132" s="53">
        <v>0</v>
      </c>
      <c r="G132" s="776">
        <f t="shared" si="25"/>
        <v>0.51501283724916636</v>
      </c>
      <c r="H132" s="519">
        <f t="shared" si="26"/>
        <v>23.175577676212484</v>
      </c>
      <c r="I132" s="53"/>
      <c r="J132" s="776">
        <f t="shared" si="27"/>
        <v>1.3905346605727491</v>
      </c>
      <c r="K132" s="1210">
        <f>'Recycling - Case 1'!Z194</f>
        <v>3949.1309735819841</v>
      </c>
      <c r="L132" s="1209">
        <f t="shared" si="34"/>
        <v>0.1</v>
      </c>
      <c r="M132" s="1209">
        <f t="shared" si="28"/>
        <v>0.9</v>
      </c>
      <c r="N132" s="53">
        <f t="shared" si="29"/>
        <v>0</v>
      </c>
      <c r="O132" s="53">
        <f t="shared" si="29"/>
        <v>0</v>
      </c>
      <c r="P132" s="776">
        <f t="shared" si="32"/>
        <v>0.31593047788655876</v>
      </c>
      <c r="Q132" s="519">
        <f t="shared" si="21"/>
        <v>14.216871504895144</v>
      </c>
      <c r="R132" s="53"/>
      <c r="S132" s="1211">
        <f t="shared" si="22"/>
        <v>0.85301229029370862</v>
      </c>
      <c r="T132" s="1198">
        <f t="shared" si="23"/>
        <v>0.83094331513572506</v>
      </c>
      <c r="U132" s="1199">
        <f t="shared" si="23"/>
        <v>37.392449181107629</v>
      </c>
      <c r="V132" s="1199">
        <f t="shared" si="23"/>
        <v>0</v>
      </c>
      <c r="W132" s="1200">
        <f t="shared" si="23"/>
        <v>2.2435469508664578</v>
      </c>
    </row>
    <row r="133" spans="1:23">
      <c r="A133" s="123">
        <f>'Input data'!A135</f>
        <v>2035</v>
      </c>
      <c r="B133" s="1208">
        <f>'Recycling - Case 1'!AI115</f>
        <v>6437.6604656145792</v>
      </c>
      <c r="C133" s="1209">
        <f t="shared" si="33"/>
        <v>0.1</v>
      </c>
      <c r="D133" s="1209">
        <f t="shared" si="24"/>
        <v>0.9</v>
      </c>
      <c r="E133" s="53">
        <v>0</v>
      </c>
      <c r="F133" s="53">
        <v>0</v>
      </c>
      <c r="G133" s="776">
        <f t="shared" si="25"/>
        <v>0.51501283724916636</v>
      </c>
      <c r="H133" s="519">
        <f t="shared" si="26"/>
        <v>23.175577676212484</v>
      </c>
      <c r="I133" s="53"/>
      <c r="J133" s="776">
        <f t="shared" si="27"/>
        <v>1.3905346605727491</v>
      </c>
      <c r="K133" s="1210">
        <f>'Recycling - Case 1'!Z195</f>
        <v>4030.6704350808041</v>
      </c>
      <c r="L133" s="1209">
        <f t="shared" si="34"/>
        <v>0.1</v>
      </c>
      <c r="M133" s="1209">
        <f t="shared" si="28"/>
        <v>0.9</v>
      </c>
      <c r="N133" s="53">
        <f t="shared" ref="N133:O148" si="35">N131</f>
        <v>0</v>
      </c>
      <c r="O133" s="53">
        <f t="shared" si="35"/>
        <v>0</v>
      </c>
      <c r="P133" s="776">
        <f t="shared" si="32"/>
        <v>0.32245363480646438</v>
      </c>
      <c r="Q133" s="519">
        <f t="shared" si="21"/>
        <v>14.510413566290895</v>
      </c>
      <c r="R133" s="53"/>
      <c r="S133" s="1211">
        <f t="shared" si="22"/>
        <v>0.87062481397745362</v>
      </c>
      <c r="T133" s="1198">
        <f t="shared" si="23"/>
        <v>0.83746647205563074</v>
      </c>
      <c r="U133" s="1199">
        <f t="shared" si="23"/>
        <v>37.685991242503377</v>
      </c>
      <c r="V133" s="1199">
        <f t="shared" si="23"/>
        <v>0</v>
      </c>
      <c r="W133" s="1200">
        <f t="shared" si="23"/>
        <v>2.2611594745502028</v>
      </c>
    </row>
    <row r="134" spans="1:23">
      <c r="A134" s="123">
        <f>'Input data'!A136</f>
        <v>2036</v>
      </c>
      <c r="B134" s="1208">
        <f>'Recycling - Case 1'!AI116</f>
        <v>6437.6604656145792</v>
      </c>
      <c r="C134" s="1209">
        <f t="shared" si="33"/>
        <v>0.1</v>
      </c>
      <c r="D134" s="1209">
        <f t="shared" si="24"/>
        <v>0.9</v>
      </c>
      <c r="E134" s="53">
        <v>0</v>
      </c>
      <c r="F134" s="53">
        <v>0</v>
      </c>
      <c r="G134" s="776">
        <f t="shared" si="25"/>
        <v>0.51501283724916636</v>
      </c>
      <c r="H134" s="519">
        <f t="shared" si="26"/>
        <v>23.175577676212484</v>
      </c>
      <c r="I134" s="53"/>
      <c r="J134" s="776">
        <f>D134*$D$7*B134/1000</f>
        <v>1.3905346605727491</v>
      </c>
      <c r="K134" s="1210">
        <f>'Recycling - Case 1'!Z196</f>
        <v>4109.6267789017866</v>
      </c>
      <c r="L134" s="1209">
        <f t="shared" si="34"/>
        <v>0.1</v>
      </c>
      <c r="M134" s="1209">
        <f t="shared" si="28"/>
        <v>0.9</v>
      </c>
      <c r="N134" s="53">
        <f t="shared" si="35"/>
        <v>0</v>
      </c>
      <c r="O134" s="53">
        <f t="shared" si="35"/>
        <v>0</v>
      </c>
      <c r="P134" s="776">
        <f t="shared" si="32"/>
        <v>0.32877014231214297</v>
      </c>
      <c r="Q134" s="519">
        <f t="shared" si="21"/>
        <v>14.794656404046433</v>
      </c>
      <c r="R134" s="53"/>
      <c r="S134" s="1211">
        <f t="shared" si="22"/>
        <v>0.88767938424278592</v>
      </c>
      <c r="T134" s="1198">
        <f t="shared" si="23"/>
        <v>0.84378297956130932</v>
      </c>
      <c r="U134" s="1199">
        <f t="shared" si="23"/>
        <v>37.970234080258919</v>
      </c>
      <c r="V134" s="1199">
        <f t="shared" si="23"/>
        <v>0</v>
      </c>
      <c r="W134" s="1200">
        <f t="shared" si="23"/>
        <v>2.278214044815535</v>
      </c>
    </row>
    <row r="135" spans="1:23">
      <c r="A135" s="123">
        <f>'Input data'!A137</f>
        <v>2037</v>
      </c>
      <c r="B135" s="1208">
        <f>'Recycling - Case 1'!AI117</f>
        <v>6437.6604656145792</v>
      </c>
      <c r="C135" s="1209">
        <f t="shared" si="33"/>
        <v>0.1</v>
      </c>
      <c r="D135" s="1209">
        <f t="shared" si="24"/>
        <v>0.9</v>
      </c>
      <c r="E135" s="53">
        <v>0</v>
      </c>
      <c r="F135" s="53">
        <v>0</v>
      </c>
      <c r="G135" s="776">
        <f t="shared" si="25"/>
        <v>0.51501283724916636</v>
      </c>
      <c r="H135" s="519">
        <f t="shared" si="26"/>
        <v>23.175577676212484</v>
      </c>
      <c r="I135" s="53"/>
      <c r="J135" s="776">
        <f t="shared" ref="J135:J148" si="36">D135*$D$7*B135/1000</f>
        <v>1.3905346605727491</v>
      </c>
      <c r="K135" s="1210">
        <f>'Recycling - Case 1'!Z197</f>
        <v>4197.8517712529874</v>
      </c>
      <c r="L135" s="1209">
        <f t="shared" si="34"/>
        <v>0.1</v>
      </c>
      <c r="M135" s="1209">
        <f t="shared" si="28"/>
        <v>0.9</v>
      </c>
      <c r="N135" s="53">
        <f t="shared" si="35"/>
        <v>0</v>
      </c>
      <c r="O135" s="53">
        <f t="shared" si="35"/>
        <v>0</v>
      </c>
      <c r="P135" s="776">
        <f t="shared" si="32"/>
        <v>0.33582814170023911</v>
      </c>
      <c r="Q135" s="519">
        <f t="shared" si="21"/>
        <v>15.112266376510755</v>
      </c>
      <c r="R135" s="53"/>
      <c r="S135" s="1211">
        <f t="shared" si="22"/>
        <v>0.90673598259064525</v>
      </c>
      <c r="T135" s="1198">
        <f t="shared" si="23"/>
        <v>0.85084097894940547</v>
      </c>
      <c r="U135" s="1199">
        <f t="shared" si="23"/>
        <v>38.287844052723237</v>
      </c>
      <c r="V135" s="1199">
        <f t="shared" si="23"/>
        <v>0</v>
      </c>
      <c r="W135" s="1200">
        <f t="shared" si="23"/>
        <v>2.2972706431633942</v>
      </c>
    </row>
    <row r="136" spans="1:23">
      <c r="A136" s="123">
        <f>'Input data'!A138</f>
        <v>2038</v>
      </c>
      <c r="B136" s="1208">
        <f>'Recycling - Case 1'!AI118</f>
        <v>6437.6604656145792</v>
      </c>
      <c r="C136" s="1209">
        <f t="shared" si="33"/>
        <v>0.1</v>
      </c>
      <c r="D136" s="1209">
        <f t="shared" si="24"/>
        <v>0.9</v>
      </c>
      <c r="E136" s="53">
        <v>0</v>
      </c>
      <c r="F136" s="53">
        <v>0</v>
      </c>
      <c r="G136" s="776">
        <f t="shared" si="25"/>
        <v>0.51501283724916636</v>
      </c>
      <c r="H136" s="519">
        <f t="shared" si="26"/>
        <v>23.175577676212484</v>
      </c>
      <c r="I136" s="53"/>
      <c r="J136" s="776">
        <f t="shared" si="36"/>
        <v>1.3905346605727491</v>
      </c>
      <c r="K136" s="1210">
        <f>'Recycling - Case 1'!Z198</f>
        <v>4285.4228841512158</v>
      </c>
      <c r="L136" s="1209">
        <f t="shared" si="34"/>
        <v>0.1</v>
      </c>
      <c r="M136" s="1209">
        <f t="shared" si="28"/>
        <v>0.9</v>
      </c>
      <c r="N136" s="53">
        <f t="shared" si="35"/>
        <v>0</v>
      </c>
      <c r="O136" s="53">
        <f t="shared" si="35"/>
        <v>0</v>
      </c>
      <c r="P136" s="776">
        <f t="shared" si="32"/>
        <v>0.34283383073209733</v>
      </c>
      <c r="Q136" s="519">
        <f t="shared" si="21"/>
        <v>15.427522382944376</v>
      </c>
      <c r="R136" s="53"/>
      <c r="S136" s="1211">
        <f t="shared" si="22"/>
        <v>0.92565134297666263</v>
      </c>
      <c r="T136" s="1198">
        <f t="shared" si="23"/>
        <v>0.85784666798126374</v>
      </c>
      <c r="U136" s="1199">
        <f t="shared" si="23"/>
        <v>38.603100059156858</v>
      </c>
      <c r="V136" s="1199">
        <f t="shared" si="23"/>
        <v>0</v>
      </c>
      <c r="W136" s="1200">
        <f t="shared" si="23"/>
        <v>2.3161860035494115</v>
      </c>
    </row>
    <row r="137" spans="1:23">
      <c r="A137" s="123">
        <f>'Input data'!A139</f>
        <v>2039</v>
      </c>
      <c r="B137" s="1208">
        <f>'Recycling - Case 1'!AI119</f>
        <v>6437.6604656145792</v>
      </c>
      <c r="C137" s="1209">
        <f t="shared" si="33"/>
        <v>0.1</v>
      </c>
      <c r="D137" s="1209">
        <f t="shared" si="24"/>
        <v>0.9</v>
      </c>
      <c r="E137" s="53">
        <v>0</v>
      </c>
      <c r="F137" s="53">
        <v>0</v>
      </c>
      <c r="G137" s="776">
        <f t="shared" si="25"/>
        <v>0.51501283724916636</v>
      </c>
      <c r="H137" s="519">
        <f t="shared" si="26"/>
        <v>23.175577676212484</v>
      </c>
      <c r="I137" s="53"/>
      <c r="J137" s="776">
        <f t="shared" si="36"/>
        <v>1.3905346605727491</v>
      </c>
      <c r="K137" s="1210">
        <f>'Recycling - Case 1'!Z199</f>
        <v>4377.5291467721845</v>
      </c>
      <c r="L137" s="1209">
        <f t="shared" si="34"/>
        <v>0.1</v>
      </c>
      <c r="M137" s="1209">
        <f t="shared" si="28"/>
        <v>0.9</v>
      </c>
      <c r="N137" s="53">
        <f t="shared" si="35"/>
        <v>0</v>
      </c>
      <c r="O137" s="53">
        <f t="shared" si="35"/>
        <v>0</v>
      </c>
      <c r="P137" s="776">
        <f t="shared" si="32"/>
        <v>0.35020233174177484</v>
      </c>
      <c r="Q137" s="519">
        <f t="shared" si="21"/>
        <v>15.759104928379864</v>
      </c>
      <c r="R137" s="53"/>
      <c r="S137" s="1211">
        <f t="shared" si="22"/>
        <v>0.94554629570279192</v>
      </c>
      <c r="T137" s="1198">
        <f t="shared" si="23"/>
        <v>0.8652151689909412</v>
      </c>
      <c r="U137" s="1199">
        <f t="shared" si="23"/>
        <v>38.934682604592346</v>
      </c>
      <c r="V137" s="1199">
        <f t="shared" si="23"/>
        <v>0</v>
      </c>
      <c r="W137" s="1200">
        <f t="shared" si="23"/>
        <v>2.3360809562755409</v>
      </c>
    </row>
    <row r="138" spans="1:23">
      <c r="A138" s="123">
        <f>'Input data'!A140</f>
        <v>2040</v>
      </c>
      <c r="B138" s="1208">
        <f>'Recycling - Case 1'!AI120</f>
        <v>6437.6604656145792</v>
      </c>
      <c r="C138" s="1209">
        <f t="shared" si="33"/>
        <v>0.1</v>
      </c>
      <c r="D138" s="1209">
        <f t="shared" si="24"/>
        <v>0.9</v>
      </c>
      <c r="E138" s="53">
        <v>0</v>
      </c>
      <c r="F138" s="53">
        <v>0</v>
      </c>
      <c r="G138" s="776">
        <f t="shared" si="25"/>
        <v>0.51501283724916636</v>
      </c>
      <c r="H138" s="519">
        <f t="shared" si="26"/>
        <v>23.175577676212484</v>
      </c>
      <c r="I138" s="53"/>
      <c r="J138" s="776">
        <f t="shared" si="36"/>
        <v>1.3905346605727491</v>
      </c>
      <c r="K138" s="1210">
        <f>'Recycling - Case 1'!Z200</f>
        <v>4470.8013872684305</v>
      </c>
      <c r="L138" s="1209">
        <f t="shared" si="34"/>
        <v>0.1</v>
      </c>
      <c r="M138" s="1209">
        <f t="shared" si="28"/>
        <v>0.9</v>
      </c>
      <c r="N138" s="53">
        <f t="shared" si="35"/>
        <v>0</v>
      </c>
      <c r="O138" s="53">
        <f t="shared" si="35"/>
        <v>0</v>
      </c>
      <c r="P138" s="776">
        <f t="shared" si="32"/>
        <v>0.35766411098147449</v>
      </c>
      <c r="Q138" s="519">
        <f t="shared" si="21"/>
        <v>16.09488499416635</v>
      </c>
      <c r="R138" s="53"/>
      <c r="S138" s="1211">
        <f t="shared" si="22"/>
        <v>0.96569309964998107</v>
      </c>
      <c r="T138" s="1198">
        <f t="shared" si="23"/>
        <v>0.8726769482306409</v>
      </c>
      <c r="U138" s="1199">
        <f t="shared" si="23"/>
        <v>39.270462670378834</v>
      </c>
      <c r="V138" s="1199">
        <f t="shared" si="23"/>
        <v>0</v>
      </c>
      <c r="W138" s="1200">
        <f t="shared" si="23"/>
        <v>2.3562277602227302</v>
      </c>
    </row>
    <row r="139" spans="1:23">
      <c r="A139" s="123">
        <f>'Input data'!A141</f>
        <v>2041</v>
      </c>
      <c r="B139" s="1208">
        <f>'Recycling - Case 1'!AI121</f>
        <v>6437.6604656145792</v>
      </c>
      <c r="C139" s="1209">
        <f t="shared" si="33"/>
        <v>0.1</v>
      </c>
      <c r="D139" s="1209">
        <f t="shared" si="24"/>
        <v>0.9</v>
      </c>
      <c r="E139" s="53">
        <v>0</v>
      </c>
      <c r="F139" s="53">
        <v>0</v>
      </c>
      <c r="G139" s="776">
        <f t="shared" si="25"/>
        <v>0.51501283724916636</v>
      </c>
      <c r="H139" s="519">
        <f t="shared" si="26"/>
        <v>23.175577676212484</v>
      </c>
      <c r="I139" s="53"/>
      <c r="J139" s="776">
        <f t="shared" si="36"/>
        <v>1.3905346605727491</v>
      </c>
      <c r="K139" s="1210">
        <f>'Recycling - Case 1'!Z201</f>
        <v>4573.4101876873783</v>
      </c>
      <c r="L139" s="1209">
        <f t="shared" si="34"/>
        <v>0.1</v>
      </c>
      <c r="M139" s="1209">
        <f t="shared" si="28"/>
        <v>0.9</v>
      </c>
      <c r="N139" s="53">
        <f t="shared" si="35"/>
        <v>0</v>
      </c>
      <c r="O139" s="53">
        <f t="shared" si="35"/>
        <v>0</v>
      </c>
      <c r="P139" s="776">
        <f t="shared" si="32"/>
        <v>0.36587281501499036</v>
      </c>
      <c r="Q139" s="519">
        <f t="shared" si="21"/>
        <v>16.464276675674562</v>
      </c>
      <c r="R139" s="53"/>
      <c r="S139" s="1211">
        <f t="shared" si="22"/>
        <v>0.98785660054047364</v>
      </c>
      <c r="T139" s="1198">
        <f t="shared" si="23"/>
        <v>0.88088565226415672</v>
      </c>
      <c r="U139" s="1199">
        <f t="shared" si="23"/>
        <v>39.639854351887045</v>
      </c>
      <c r="V139" s="1199">
        <f t="shared" si="23"/>
        <v>0</v>
      </c>
      <c r="W139" s="1200">
        <f t="shared" si="23"/>
        <v>2.3783912611132227</v>
      </c>
    </row>
    <row r="140" spans="1:23">
      <c r="A140" s="123">
        <f>'Input data'!A142</f>
        <v>2042</v>
      </c>
      <c r="B140" s="1208">
        <f>'Recycling - Case 1'!AI122</f>
        <v>6437.6604656145792</v>
      </c>
      <c r="C140" s="1209">
        <f t="shared" si="33"/>
        <v>0.1</v>
      </c>
      <c r="D140" s="1209">
        <f t="shared" si="24"/>
        <v>0.9</v>
      </c>
      <c r="E140" s="53">
        <v>0</v>
      </c>
      <c r="F140" s="53">
        <v>0</v>
      </c>
      <c r="G140" s="776">
        <f t="shared" si="25"/>
        <v>0.51501283724916636</v>
      </c>
      <c r="H140" s="519">
        <f t="shared" si="26"/>
        <v>23.175577676212484</v>
      </c>
      <c r="I140" s="53"/>
      <c r="J140" s="776">
        <f t="shared" si="36"/>
        <v>1.3905346605727491</v>
      </c>
      <c r="K140" s="1210">
        <f>'Recycling - Case 1'!Z202</f>
        <v>4673.052237396033</v>
      </c>
      <c r="L140" s="1209">
        <f t="shared" si="34"/>
        <v>0.1</v>
      </c>
      <c r="M140" s="1209">
        <f t="shared" si="28"/>
        <v>0.9</v>
      </c>
      <c r="N140" s="53">
        <f t="shared" si="35"/>
        <v>0</v>
      </c>
      <c r="O140" s="53">
        <f t="shared" si="35"/>
        <v>0</v>
      </c>
      <c r="P140" s="776">
        <f t="shared" si="32"/>
        <v>0.37384417899168271</v>
      </c>
      <c r="Q140" s="519">
        <f t="shared" si="21"/>
        <v>16.822988054625718</v>
      </c>
      <c r="R140" s="53"/>
      <c r="S140" s="1211">
        <f t="shared" si="22"/>
        <v>1.009379283277543</v>
      </c>
      <c r="T140" s="1198">
        <f t="shared" si="23"/>
        <v>0.88885701624084912</v>
      </c>
      <c r="U140" s="1199">
        <f t="shared" si="23"/>
        <v>39.998565730838202</v>
      </c>
      <c r="V140" s="1199">
        <f t="shared" si="23"/>
        <v>0</v>
      </c>
      <c r="W140" s="1200">
        <f t="shared" si="23"/>
        <v>2.3999139438502919</v>
      </c>
    </row>
    <row r="141" spans="1:23">
      <c r="A141" s="123">
        <f>'Input data'!A143</f>
        <v>2043</v>
      </c>
      <c r="B141" s="1208">
        <f>'Recycling - Case 1'!AI123</f>
        <v>6437.6604656145792</v>
      </c>
      <c r="C141" s="1209">
        <f t="shared" si="33"/>
        <v>0.1</v>
      </c>
      <c r="D141" s="1209">
        <f t="shared" si="24"/>
        <v>0.9</v>
      </c>
      <c r="E141" s="53">
        <v>0</v>
      </c>
      <c r="F141" s="53">
        <v>0</v>
      </c>
      <c r="G141" s="776">
        <f t="shared" si="25"/>
        <v>0.51501283724916636</v>
      </c>
      <c r="H141" s="519">
        <f t="shared" si="26"/>
        <v>23.175577676212484</v>
      </c>
      <c r="I141" s="53"/>
      <c r="J141" s="776">
        <f t="shared" si="36"/>
        <v>1.3905346605727491</v>
      </c>
      <c r="K141" s="1210">
        <f>'Recycling - Case 1'!Z203</f>
        <v>4774.8796293139649</v>
      </c>
      <c r="L141" s="1209">
        <f t="shared" si="34"/>
        <v>0.1</v>
      </c>
      <c r="M141" s="1209">
        <f t="shared" si="28"/>
        <v>0.9</v>
      </c>
      <c r="N141" s="53">
        <f t="shared" si="35"/>
        <v>0</v>
      </c>
      <c r="O141" s="53">
        <f t="shared" si="35"/>
        <v>0</v>
      </c>
      <c r="P141" s="776">
        <f t="shared" si="32"/>
        <v>0.38199037034511724</v>
      </c>
      <c r="Q141" s="519">
        <f t="shared" si="21"/>
        <v>17.189566665530275</v>
      </c>
      <c r="R141" s="53"/>
      <c r="S141" s="1211">
        <f t="shared" si="22"/>
        <v>1.0313739999318163</v>
      </c>
      <c r="T141" s="1198">
        <f t="shared" si="23"/>
        <v>0.89700320759428354</v>
      </c>
      <c r="U141" s="1199">
        <f t="shared" si="23"/>
        <v>40.365144341742763</v>
      </c>
      <c r="V141" s="1199">
        <f t="shared" si="23"/>
        <v>0</v>
      </c>
      <c r="W141" s="1200">
        <f t="shared" si="23"/>
        <v>2.4219086605045654</v>
      </c>
    </row>
    <row r="142" spans="1:23">
      <c r="A142" s="123">
        <f>'Input data'!A144</f>
        <v>2044</v>
      </c>
      <c r="B142" s="1208">
        <f>'Recycling - Case 1'!AI124</f>
        <v>6437.6604656145792</v>
      </c>
      <c r="C142" s="1209">
        <f t="shared" si="33"/>
        <v>0.1</v>
      </c>
      <c r="D142" s="1209">
        <f t="shared" si="24"/>
        <v>0.9</v>
      </c>
      <c r="E142" s="53">
        <v>0</v>
      </c>
      <c r="F142" s="53">
        <v>0</v>
      </c>
      <c r="G142" s="776">
        <f t="shared" si="25"/>
        <v>0.51501283724916636</v>
      </c>
      <c r="H142" s="519">
        <f t="shared" si="26"/>
        <v>23.175577676212484</v>
      </c>
      <c r="I142" s="53"/>
      <c r="J142" s="776">
        <f t="shared" si="36"/>
        <v>1.3905346605727491</v>
      </c>
      <c r="K142" s="1210">
        <f>'Recycling - Case 1'!Z204</f>
        <v>4880.2790721144393</v>
      </c>
      <c r="L142" s="1209">
        <f t="shared" si="34"/>
        <v>0.1</v>
      </c>
      <c r="M142" s="1209">
        <f t="shared" si="28"/>
        <v>0.9</v>
      </c>
      <c r="N142" s="53">
        <f t="shared" si="35"/>
        <v>0</v>
      </c>
      <c r="O142" s="53">
        <f t="shared" si="35"/>
        <v>0</v>
      </c>
      <c r="P142" s="776">
        <f t="shared" si="32"/>
        <v>0.39042232576915525</v>
      </c>
      <c r="Q142" s="519">
        <f t="shared" si="21"/>
        <v>17.569004659611984</v>
      </c>
      <c r="R142" s="53"/>
      <c r="S142" s="1211">
        <f t="shared" si="22"/>
        <v>1.054140279576719</v>
      </c>
      <c r="T142" s="1198">
        <f t="shared" si="23"/>
        <v>0.90543516301832161</v>
      </c>
      <c r="U142" s="1199">
        <f t="shared" si="23"/>
        <v>40.744582335824468</v>
      </c>
      <c r="V142" s="1199">
        <f t="shared" si="23"/>
        <v>0</v>
      </c>
      <c r="W142" s="1200">
        <f t="shared" si="23"/>
        <v>2.4446749401494681</v>
      </c>
    </row>
    <row r="143" spans="1:23">
      <c r="A143" s="123">
        <f>'Input data'!A145</f>
        <v>2045</v>
      </c>
      <c r="B143" s="1208">
        <f>'Recycling - Case 1'!AI125</f>
        <v>6437.6604656145792</v>
      </c>
      <c r="C143" s="1209">
        <f t="shared" si="33"/>
        <v>0.1</v>
      </c>
      <c r="D143" s="1209">
        <f t="shared" si="24"/>
        <v>0.9</v>
      </c>
      <c r="E143" s="53">
        <v>0</v>
      </c>
      <c r="F143" s="53">
        <v>0</v>
      </c>
      <c r="G143" s="776">
        <f t="shared" si="25"/>
        <v>0.51501283724916636</v>
      </c>
      <c r="H143" s="519">
        <f t="shared" si="26"/>
        <v>23.175577676212484</v>
      </c>
      <c r="I143" s="53"/>
      <c r="J143" s="776">
        <f t="shared" si="36"/>
        <v>1.3905346605727491</v>
      </c>
      <c r="K143" s="1210">
        <f>'Recycling - Case 1'!Z205</f>
        <v>4989.8209734474995</v>
      </c>
      <c r="L143" s="1209">
        <f t="shared" si="34"/>
        <v>0.1</v>
      </c>
      <c r="M143" s="1209">
        <f t="shared" si="28"/>
        <v>0.9</v>
      </c>
      <c r="N143" s="53">
        <f t="shared" si="35"/>
        <v>0</v>
      </c>
      <c r="O143" s="53">
        <f t="shared" si="35"/>
        <v>0</v>
      </c>
      <c r="P143" s="776">
        <f t="shared" si="32"/>
        <v>0.3991856778758</v>
      </c>
      <c r="Q143" s="519">
        <f t="shared" si="21"/>
        <v>17.963355504410998</v>
      </c>
      <c r="R143" s="53"/>
      <c r="S143" s="1211">
        <f t="shared" si="22"/>
        <v>1.0778013302646599</v>
      </c>
      <c r="T143" s="1198">
        <f t="shared" si="23"/>
        <v>0.9141985151249663</v>
      </c>
      <c r="U143" s="1199">
        <f t="shared" si="23"/>
        <v>41.138933180623482</v>
      </c>
      <c r="V143" s="1199">
        <f t="shared" si="23"/>
        <v>0</v>
      </c>
      <c r="W143" s="1200">
        <f t="shared" si="23"/>
        <v>2.4683359908374092</v>
      </c>
    </row>
    <row r="144" spans="1:23">
      <c r="A144" s="123">
        <f>'Input data'!A146</f>
        <v>2046</v>
      </c>
      <c r="B144" s="1208">
        <f>'Recycling - Case 1'!AI126</f>
        <v>6437.6604656145792</v>
      </c>
      <c r="C144" s="1209">
        <f t="shared" si="33"/>
        <v>0.1</v>
      </c>
      <c r="D144" s="1209">
        <f t="shared" si="24"/>
        <v>0.9</v>
      </c>
      <c r="E144" s="53">
        <v>0</v>
      </c>
      <c r="F144" s="53">
        <v>0</v>
      </c>
      <c r="G144" s="776">
        <f t="shared" si="25"/>
        <v>0.51501283724916636</v>
      </c>
      <c r="H144" s="519">
        <f t="shared" si="26"/>
        <v>23.175577676212484</v>
      </c>
      <c r="I144" s="53"/>
      <c r="J144" s="776">
        <f t="shared" si="36"/>
        <v>1.3905346605727491</v>
      </c>
      <c r="K144" s="1210">
        <f>'Recycling - Case 1'!Z206</f>
        <v>5111.6211020205074</v>
      </c>
      <c r="L144" s="1209">
        <f t="shared" si="34"/>
        <v>0.1</v>
      </c>
      <c r="M144" s="1209">
        <f t="shared" si="28"/>
        <v>0.9</v>
      </c>
      <c r="N144" s="53">
        <f t="shared" si="35"/>
        <v>0</v>
      </c>
      <c r="O144" s="53">
        <f t="shared" si="35"/>
        <v>0</v>
      </c>
      <c r="P144" s="776">
        <f t="shared" si="32"/>
        <v>0.40892968816164066</v>
      </c>
      <c r="Q144" s="519">
        <f t="shared" si="21"/>
        <v>18.401835967273826</v>
      </c>
      <c r="R144" s="53"/>
      <c r="S144" s="1211">
        <f t="shared" si="22"/>
        <v>1.1041101580364296</v>
      </c>
      <c r="T144" s="1198">
        <f t="shared" si="23"/>
        <v>0.92394252541080701</v>
      </c>
      <c r="U144" s="1199">
        <f t="shared" si="23"/>
        <v>41.57741364348631</v>
      </c>
      <c r="V144" s="1199">
        <f t="shared" si="23"/>
        <v>0</v>
      </c>
      <c r="W144" s="1200">
        <f t="shared" si="23"/>
        <v>2.4946448186091787</v>
      </c>
    </row>
    <row r="145" spans="1:23">
      <c r="A145" s="123">
        <f>'Input data'!A147</f>
        <v>2047</v>
      </c>
      <c r="B145" s="1208">
        <f>'Recycling - Case 1'!AI127</f>
        <v>6437.6604656145792</v>
      </c>
      <c r="C145" s="1209">
        <f t="shared" si="33"/>
        <v>0.1</v>
      </c>
      <c r="D145" s="1209">
        <f t="shared" si="24"/>
        <v>0.9</v>
      </c>
      <c r="E145" s="53">
        <v>0</v>
      </c>
      <c r="F145" s="53">
        <v>0</v>
      </c>
      <c r="G145" s="776">
        <f t="shared" si="25"/>
        <v>0.51501283724916636</v>
      </c>
      <c r="H145" s="519">
        <f t="shared" si="26"/>
        <v>23.175577676212484</v>
      </c>
      <c r="I145" s="53"/>
      <c r="J145" s="776">
        <f t="shared" si="36"/>
        <v>1.3905346605727491</v>
      </c>
      <c r="K145" s="1210">
        <f>'Recycling - Case 1'!Z207</f>
        <v>5199.0583729432956</v>
      </c>
      <c r="L145" s="1209">
        <f t="shared" si="34"/>
        <v>0.1</v>
      </c>
      <c r="M145" s="1209">
        <f t="shared" si="28"/>
        <v>0.9</v>
      </c>
      <c r="N145" s="53">
        <f t="shared" si="35"/>
        <v>0</v>
      </c>
      <c r="O145" s="53">
        <f t="shared" si="35"/>
        <v>0</v>
      </c>
      <c r="P145" s="776">
        <f t="shared" si="32"/>
        <v>0.41592466983546372</v>
      </c>
      <c r="Q145" s="519">
        <f t="shared" si="21"/>
        <v>18.716610142595865</v>
      </c>
      <c r="R145" s="53"/>
      <c r="S145" s="1211">
        <f t="shared" si="22"/>
        <v>1.1229966085557519</v>
      </c>
      <c r="T145" s="1198">
        <f t="shared" si="23"/>
        <v>0.93093750708463008</v>
      </c>
      <c r="U145" s="1199">
        <f t="shared" si="23"/>
        <v>41.892187818808353</v>
      </c>
      <c r="V145" s="1199">
        <f t="shared" si="23"/>
        <v>0</v>
      </c>
      <c r="W145" s="1200">
        <f t="shared" si="23"/>
        <v>2.5135312691285012</v>
      </c>
    </row>
    <row r="146" spans="1:23">
      <c r="A146" s="123">
        <f>'Input data'!A148</f>
        <v>2048</v>
      </c>
      <c r="B146" s="1208">
        <f>'Recycling - Case 1'!AI128</f>
        <v>6437.6604656145792</v>
      </c>
      <c r="C146" s="1209">
        <f t="shared" si="33"/>
        <v>0.1</v>
      </c>
      <c r="D146" s="1209">
        <f t="shared" si="24"/>
        <v>0.9</v>
      </c>
      <c r="E146" s="53">
        <v>0</v>
      </c>
      <c r="F146" s="53">
        <v>0</v>
      </c>
      <c r="G146" s="776">
        <f t="shared" si="25"/>
        <v>0.51501283724916636</v>
      </c>
      <c r="H146" s="519">
        <f t="shared" si="26"/>
        <v>23.175577676212484</v>
      </c>
      <c r="I146" s="53"/>
      <c r="J146" s="776">
        <f t="shared" si="36"/>
        <v>1.3905346605727491</v>
      </c>
      <c r="K146" s="1210">
        <f>'Recycling - Case 1'!Z208</f>
        <v>5289.613511597383</v>
      </c>
      <c r="L146" s="1209">
        <f t="shared" si="34"/>
        <v>0.1</v>
      </c>
      <c r="M146" s="1209">
        <f t="shared" si="28"/>
        <v>0.9</v>
      </c>
      <c r="N146" s="53">
        <f t="shared" si="35"/>
        <v>0</v>
      </c>
      <c r="O146" s="53">
        <f t="shared" si="35"/>
        <v>0</v>
      </c>
      <c r="P146" s="776">
        <f t="shared" si="32"/>
        <v>0.42316908092779071</v>
      </c>
      <c r="Q146" s="519">
        <f t="shared" si="21"/>
        <v>19.042608641750579</v>
      </c>
      <c r="R146" s="53"/>
      <c r="S146" s="1211">
        <f t="shared" si="22"/>
        <v>1.1425565185050348</v>
      </c>
      <c r="T146" s="1198">
        <f t="shared" si="23"/>
        <v>0.93818191817695706</v>
      </c>
      <c r="U146" s="1199">
        <f t="shared" si="23"/>
        <v>42.21818631796306</v>
      </c>
      <c r="V146" s="1199">
        <f t="shared" si="23"/>
        <v>0</v>
      </c>
      <c r="W146" s="1200">
        <f t="shared" si="23"/>
        <v>2.5330911790777839</v>
      </c>
    </row>
    <row r="147" spans="1:23">
      <c r="A147" s="123">
        <f>'Input data'!A149</f>
        <v>2049</v>
      </c>
      <c r="B147" s="1208">
        <f>'Recycling - Case 1'!AI129</f>
        <v>6437.6604656145792</v>
      </c>
      <c r="C147" s="1209">
        <f t="shared" si="33"/>
        <v>0.1</v>
      </c>
      <c r="D147" s="1209">
        <f t="shared" si="24"/>
        <v>0.9</v>
      </c>
      <c r="E147" s="53">
        <v>0</v>
      </c>
      <c r="F147" s="53">
        <v>0</v>
      </c>
      <c r="G147" s="776">
        <f t="shared" si="25"/>
        <v>0.51501283724916636</v>
      </c>
      <c r="H147" s="519">
        <f t="shared" si="26"/>
        <v>23.175577676212484</v>
      </c>
      <c r="I147" s="53"/>
      <c r="J147" s="776">
        <f t="shared" si="36"/>
        <v>1.3905346605727491</v>
      </c>
      <c r="K147" s="1210">
        <f>'Recycling - Case 1'!Z209</f>
        <v>5377.5009175276673</v>
      </c>
      <c r="L147" s="1209">
        <f t="shared" si="34"/>
        <v>0.1</v>
      </c>
      <c r="M147" s="1209">
        <f t="shared" si="28"/>
        <v>0.9</v>
      </c>
      <c r="N147" s="53">
        <f t="shared" si="35"/>
        <v>0</v>
      </c>
      <c r="O147" s="53">
        <f t="shared" si="35"/>
        <v>0</v>
      </c>
      <c r="P147" s="776">
        <f t="shared" si="32"/>
        <v>0.4302000734022135</v>
      </c>
      <c r="Q147" s="519">
        <f t="shared" si="21"/>
        <v>19.359003303099602</v>
      </c>
      <c r="R147" s="53"/>
      <c r="S147" s="1211">
        <f t="shared" si="22"/>
        <v>1.1615401981859761</v>
      </c>
      <c r="T147" s="1198">
        <f t="shared" si="23"/>
        <v>0.9452129106513798</v>
      </c>
      <c r="U147" s="1199">
        <f t="shared" si="23"/>
        <v>42.534580979312082</v>
      </c>
      <c r="V147" s="1199">
        <f t="shared" si="23"/>
        <v>0</v>
      </c>
      <c r="W147" s="1200">
        <f t="shared" si="23"/>
        <v>2.5520748587587252</v>
      </c>
    </row>
    <row r="148" spans="1:23" ht="15.75" thickBot="1">
      <c r="A148" s="123">
        <f>'Input data'!A150</f>
        <v>2050</v>
      </c>
      <c r="B148" s="1208">
        <f>'Recycling - Case 1'!AI130</f>
        <v>6437.6604656145792</v>
      </c>
      <c r="C148" s="578">
        <f t="shared" si="33"/>
        <v>0.1</v>
      </c>
      <c r="D148" s="578">
        <f t="shared" si="24"/>
        <v>0.9</v>
      </c>
      <c r="E148" s="1212">
        <v>0</v>
      </c>
      <c r="F148" s="1212">
        <v>0</v>
      </c>
      <c r="G148" s="776">
        <f t="shared" si="25"/>
        <v>0.51501283724916636</v>
      </c>
      <c r="H148" s="519">
        <f t="shared" si="26"/>
        <v>23.175577676212484</v>
      </c>
      <c r="I148" s="1212"/>
      <c r="J148" s="1213">
        <f t="shared" si="36"/>
        <v>1.3905346605727491</v>
      </c>
      <c r="K148" s="1210">
        <f>'Recycling - Case 1'!Z210</f>
        <v>5465.916608694276</v>
      </c>
      <c r="L148" s="578">
        <f t="shared" si="34"/>
        <v>0.1</v>
      </c>
      <c r="M148" s="578">
        <f t="shared" si="28"/>
        <v>0.9</v>
      </c>
      <c r="N148" s="1212">
        <f t="shared" si="35"/>
        <v>0</v>
      </c>
      <c r="O148" s="1212">
        <f t="shared" si="35"/>
        <v>0</v>
      </c>
      <c r="P148" s="1213">
        <f t="shared" si="32"/>
        <v>0.43727332869554214</v>
      </c>
      <c r="Q148" s="1144">
        <f t="shared" si="21"/>
        <v>19.677299791299394</v>
      </c>
      <c r="R148" s="1212"/>
      <c r="S148" s="1214">
        <f t="shared" si="22"/>
        <v>1.1806379874779636</v>
      </c>
      <c r="T148" s="1215">
        <f t="shared" si="23"/>
        <v>0.9522861659447085</v>
      </c>
      <c r="U148" s="1216">
        <f t="shared" si="23"/>
        <v>42.852877467511874</v>
      </c>
      <c r="V148" s="1216">
        <f t="shared" si="23"/>
        <v>0</v>
      </c>
      <c r="W148" s="1217">
        <f t="shared" si="23"/>
        <v>2.5711726480507124</v>
      </c>
    </row>
    <row r="149" spans="1:23">
      <c r="A149" s="1202" t="s">
        <v>645</v>
      </c>
      <c r="B149" s="1203"/>
      <c r="C149" s="1218"/>
      <c r="D149" s="1218"/>
      <c r="E149" s="1219"/>
      <c r="F149" s="1219"/>
      <c r="G149" s="1220"/>
      <c r="H149" s="1221"/>
      <c r="I149" s="1222"/>
      <c r="J149" s="1220"/>
      <c r="K149" s="1223"/>
      <c r="L149" s="1218"/>
      <c r="M149" s="1218"/>
      <c r="N149" s="1219"/>
      <c r="O149" s="1219"/>
      <c r="P149" s="1220"/>
      <c r="Q149" s="1221"/>
      <c r="R149" s="1219"/>
      <c r="S149" s="1224"/>
      <c r="T149" s="1194"/>
      <c r="U149" s="1195"/>
      <c r="V149" s="1195"/>
      <c r="W149" s="1196"/>
    </row>
    <row r="150" spans="1:23">
      <c r="A150" s="123">
        <f>'Input data'!A118</f>
        <v>2018</v>
      </c>
      <c r="B150" s="1208">
        <f>'Recycling - Case 2'!AI98</f>
        <v>3707.5235423427162</v>
      </c>
      <c r="C150" s="1209">
        <f>($C$154-$C$80)/($A$154-$A$80)+C80</f>
        <v>6.0000000000000005E-2</v>
      </c>
      <c r="D150" s="1209">
        <f>1-C150</f>
        <v>0.94</v>
      </c>
      <c r="E150" s="53">
        <v>0</v>
      </c>
      <c r="F150" s="53">
        <v>0</v>
      </c>
      <c r="G150" s="776">
        <f>C150*$D$5*B150/1000-E150</f>
        <v>0.1779611300324504</v>
      </c>
      <c r="H150" s="519">
        <f>D150*$D$4*B150/1000-F150</f>
        <v>13.940288519208613</v>
      </c>
      <c r="I150" s="53"/>
      <c r="J150" s="776">
        <f>D150*$D$7*B150/1000</f>
        <v>0.83641731115251661</v>
      </c>
      <c r="K150" s="1210">
        <f>'Recycling - Case 2'!Z138</f>
        <v>1789.9687605419947</v>
      </c>
      <c r="L150" s="1209">
        <f>($L$154-$L$80)/($A$154-$A$80)+L80</f>
        <v>0.1</v>
      </c>
      <c r="M150" s="1209">
        <f>($M$154-$M$80)/($A$154-$A$80)+M80</f>
        <v>0.9</v>
      </c>
      <c r="N150" s="53">
        <f>N114</f>
        <v>0</v>
      </c>
      <c r="O150" s="53">
        <f>O114</f>
        <v>0</v>
      </c>
      <c r="P150" s="776">
        <f>L150*$D$5*K150/1000-N150</f>
        <v>0.14319750084335958</v>
      </c>
      <c r="Q150" s="519">
        <f t="shared" ref="Q150:Q182" si="37">M150*$D$4*K150/1000-O150</f>
        <v>6.4438875379511806</v>
      </c>
      <c r="R150" s="53"/>
      <c r="S150" s="1211">
        <f t="shared" ref="S150:S182" si="38">M150*$D$7*K150/1000</f>
        <v>0.38663325227707085</v>
      </c>
      <c r="T150" s="1198">
        <f t="shared" ref="T150:W182" si="39">G150+P150</f>
        <v>0.32115863087580998</v>
      </c>
      <c r="U150" s="1199">
        <f t="shared" si="39"/>
        <v>20.384176057159792</v>
      </c>
      <c r="V150" s="1199">
        <f t="shared" si="39"/>
        <v>0</v>
      </c>
      <c r="W150" s="1200">
        <f t="shared" si="39"/>
        <v>1.2230505634295874</v>
      </c>
    </row>
    <row r="151" spans="1:23">
      <c r="A151" s="123">
        <f>'Input data'!A119</f>
        <v>2019</v>
      </c>
      <c r="B151" s="1208">
        <f>'Recycling - Case 2'!AI99</f>
        <v>4010.8720893729233</v>
      </c>
      <c r="C151" s="1209">
        <f>($C$154-$C$80)/($A$154-$A$80)+C150</f>
        <v>7.0000000000000007E-2</v>
      </c>
      <c r="D151" s="1209">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0">
        <f>'Recycling - Case 2'!Z139</f>
        <v>2562.551002317176</v>
      </c>
      <c r="L151" s="1209">
        <f>($L$154-$L$80)/($A$154-$A$80)+L150</f>
        <v>0.1</v>
      </c>
      <c r="M151" s="1209">
        <f>($M$154-$M$80)/($A$154-$A$80)+M150</f>
        <v>0.9</v>
      </c>
      <c r="N151" s="53">
        <f t="shared" ref="N151:O166" si="44">N149</f>
        <v>0</v>
      </c>
      <c r="O151" s="53">
        <f t="shared" si="44"/>
        <v>0</v>
      </c>
      <c r="P151" s="776">
        <f t="shared" ref="P151:P182" si="45">L151*$D$5*K151/1000-N151</f>
        <v>0.20500408018537411</v>
      </c>
      <c r="Q151" s="519">
        <f t="shared" si="37"/>
        <v>9.2251836083418333</v>
      </c>
      <c r="R151" s="53"/>
      <c r="S151" s="1211">
        <f t="shared" si="38"/>
        <v>0.55351101650050993</v>
      </c>
      <c r="T151" s="1198">
        <f t="shared" si="39"/>
        <v>0.42961291719025785</v>
      </c>
      <c r="U151" s="1199">
        <f t="shared" si="39"/>
        <v>24.145627780809107</v>
      </c>
      <c r="V151" s="1199">
        <f t="shared" si="39"/>
        <v>0</v>
      </c>
      <c r="W151" s="1200">
        <f t="shared" si="39"/>
        <v>1.4487376668485463</v>
      </c>
    </row>
    <row r="152" spans="1:23">
      <c r="A152" s="123">
        <f>'Input data'!A120</f>
        <v>2020</v>
      </c>
      <c r="B152" s="1208">
        <f>'Recycling - Case 2'!AI100</f>
        <v>4617.5691834333375</v>
      </c>
      <c r="C152" s="1209">
        <f>($C$154-$C$80)/($A$154-$A$80)+C151</f>
        <v>0.08</v>
      </c>
      <c r="D152" s="1209">
        <f t="shared" si="40"/>
        <v>0.92</v>
      </c>
      <c r="E152" s="53">
        <v>0</v>
      </c>
      <c r="F152" s="53">
        <v>0</v>
      </c>
      <c r="G152" s="776">
        <f t="shared" si="41"/>
        <v>0.29552442773973359</v>
      </c>
      <c r="H152" s="519">
        <f t="shared" si="42"/>
        <v>16.992654595034679</v>
      </c>
      <c r="I152" s="53"/>
      <c r="J152" s="776">
        <f t="shared" si="43"/>
        <v>1.0195592757020808</v>
      </c>
      <c r="K152" s="1210">
        <f>'Recycling - Case 2'!Z140</f>
        <v>2560.6366375303887</v>
      </c>
      <c r="L152" s="1209">
        <f>($L$154-$L$80)/($A$154-$A$80)+L151</f>
        <v>0.1</v>
      </c>
      <c r="M152" s="1209">
        <f>($M$154-$M$80)/($A$154-$A$80)+M151</f>
        <v>0.9</v>
      </c>
      <c r="N152" s="53">
        <f t="shared" si="44"/>
        <v>0</v>
      </c>
      <c r="O152" s="53">
        <f t="shared" si="44"/>
        <v>0</v>
      </c>
      <c r="P152" s="776">
        <f t="shared" si="45"/>
        <v>0.20485093100243115</v>
      </c>
      <c r="Q152" s="519">
        <f t="shared" si="37"/>
        <v>9.2182918951094006</v>
      </c>
      <c r="R152" s="53"/>
      <c r="S152" s="1211">
        <f t="shared" si="38"/>
        <v>0.55309751370656401</v>
      </c>
      <c r="T152" s="1198">
        <f t="shared" si="39"/>
        <v>0.50037535874216477</v>
      </c>
      <c r="U152" s="1199">
        <f t="shared" si="39"/>
        <v>26.210946490144082</v>
      </c>
      <c r="V152" s="1199">
        <f t="shared" si="39"/>
        <v>0</v>
      </c>
      <c r="W152" s="1200">
        <f t="shared" si="39"/>
        <v>1.572656789408645</v>
      </c>
    </row>
    <row r="153" spans="1:23">
      <c r="A153" s="123">
        <f>'Input data'!A121</f>
        <v>2021</v>
      </c>
      <c r="B153" s="1208">
        <f>'Recycling - Case 2'!AI101</f>
        <v>5830.9633715541659</v>
      </c>
      <c r="C153" s="1209">
        <f>($C$154-$C$80)/($A$154-$A$80)+C152</f>
        <v>0.09</v>
      </c>
      <c r="D153" s="1209">
        <f t="shared" si="40"/>
        <v>0.91</v>
      </c>
      <c r="E153" s="53">
        <v>0</v>
      </c>
      <c r="F153" s="53">
        <v>0</v>
      </c>
      <c r="G153" s="776">
        <f t="shared" si="41"/>
        <v>0.41982936275189991</v>
      </c>
      <c r="H153" s="519">
        <f t="shared" si="42"/>
        <v>21.224706672457163</v>
      </c>
      <c r="I153" s="53"/>
      <c r="J153" s="776">
        <f t="shared" si="43"/>
        <v>1.2734824003474299</v>
      </c>
      <c r="K153" s="1210">
        <f>'Recycling - Case 2'!Z141</f>
        <v>2935.6191232226211</v>
      </c>
      <c r="L153" s="1209">
        <f>($L$154-$L$80)/($A$154-$A$80)+L152</f>
        <v>0.1</v>
      </c>
      <c r="M153" s="1209">
        <f>($M$154-$M$80)/($A$154-$A$80)+M152</f>
        <v>0.9</v>
      </c>
      <c r="N153" s="53">
        <f t="shared" si="44"/>
        <v>0</v>
      </c>
      <c r="O153" s="53">
        <f t="shared" si="44"/>
        <v>0</v>
      </c>
      <c r="P153" s="776">
        <f t="shared" si="45"/>
        <v>0.23484952985780974</v>
      </c>
      <c r="Q153" s="519">
        <f t="shared" si="37"/>
        <v>10.568228843601437</v>
      </c>
      <c r="R153" s="53"/>
      <c r="S153" s="1211">
        <f t="shared" si="38"/>
        <v>0.6340937306160862</v>
      </c>
      <c r="T153" s="1198">
        <f t="shared" si="39"/>
        <v>0.65467889260970968</v>
      </c>
      <c r="U153" s="1199">
        <f t="shared" si="39"/>
        <v>31.792935516058598</v>
      </c>
      <c r="V153" s="1199">
        <f t="shared" si="39"/>
        <v>0</v>
      </c>
      <c r="W153" s="1200">
        <f t="shared" si="39"/>
        <v>1.9075761309635162</v>
      </c>
    </row>
    <row r="154" spans="1:23">
      <c r="A154" s="123">
        <f>'Input data'!A122</f>
        <v>2022</v>
      </c>
      <c r="B154" s="1208">
        <f>'Recycling - Case 2'!AI102</f>
        <v>6437.6604656145792</v>
      </c>
      <c r="C154" s="1209">
        <f>'Recycling - Case 2'!E31</f>
        <v>0.1</v>
      </c>
      <c r="D154" s="1209">
        <f>'Recycling - Case 2'!F31</f>
        <v>0.9</v>
      </c>
      <c r="E154" s="53">
        <v>0</v>
      </c>
      <c r="F154" s="53">
        <v>0</v>
      </c>
      <c r="G154" s="776">
        <f t="shared" si="41"/>
        <v>0.51501283724916636</v>
      </c>
      <c r="H154" s="519">
        <f t="shared" si="42"/>
        <v>23.175577676212484</v>
      </c>
      <c r="I154" s="53"/>
      <c r="J154" s="776">
        <f t="shared" si="43"/>
        <v>1.3905346605727491</v>
      </c>
      <c r="K154" s="1210">
        <f>'Recycling - Case 2'!Z142</f>
        <v>3145.7858208059524</v>
      </c>
      <c r="L154" s="1209">
        <f>'Recycling - Case 2'!E31</f>
        <v>0.1</v>
      </c>
      <c r="M154" s="1209">
        <f>'Recycling - Case 2'!F31</f>
        <v>0.9</v>
      </c>
      <c r="N154" s="53">
        <f t="shared" si="44"/>
        <v>0</v>
      </c>
      <c r="O154" s="53">
        <f t="shared" si="44"/>
        <v>0</v>
      </c>
      <c r="P154" s="776">
        <f t="shared" si="45"/>
        <v>0.25166286566447627</v>
      </c>
      <c r="Q154" s="519">
        <f t="shared" si="37"/>
        <v>11.324828954901429</v>
      </c>
      <c r="R154" s="53"/>
      <c r="S154" s="1211">
        <f t="shared" si="38"/>
        <v>0.67948973729408568</v>
      </c>
      <c r="T154" s="1198">
        <f t="shared" si="39"/>
        <v>0.76667570291364262</v>
      </c>
      <c r="U154" s="1199">
        <f t="shared" si="39"/>
        <v>34.500406631113911</v>
      </c>
      <c r="V154" s="1199">
        <f t="shared" si="39"/>
        <v>0</v>
      </c>
      <c r="W154" s="1200">
        <f t="shared" si="39"/>
        <v>2.0700243978668347</v>
      </c>
    </row>
    <row r="155" spans="1:23">
      <c r="A155" s="123">
        <f>'Input data'!A123</f>
        <v>2023</v>
      </c>
      <c r="B155" s="1208">
        <f>'Recycling - Case 2'!AI103</f>
        <v>6437.6604656145792</v>
      </c>
      <c r="C155" s="1209">
        <f>C154</f>
        <v>0.1</v>
      </c>
      <c r="D155" s="1209">
        <f>D154</f>
        <v>0.9</v>
      </c>
      <c r="E155" s="53">
        <v>0</v>
      </c>
      <c r="F155" s="53">
        <v>0</v>
      </c>
      <c r="G155" s="776">
        <f t="shared" si="41"/>
        <v>0.51501283724916636</v>
      </c>
      <c r="H155" s="519">
        <f t="shared" si="42"/>
        <v>23.175577676212484</v>
      </c>
      <c r="I155" s="53"/>
      <c r="J155" s="776">
        <f t="shared" si="43"/>
        <v>1.3905346605727491</v>
      </c>
      <c r="K155" s="1210">
        <f>'Recycling - Case 2'!Z143</f>
        <v>3202.2796257327404</v>
      </c>
      <c r="L155" s="1209">
        <f>L154</f>
        <v>0.1</v>
      </c>
      <c r="M155" s="1209">
        <f>M154</f>
        <v>0.9</v>
      </c>
      <c r="N155" s="53">
        <f t="shared" si="44"/>
        <v>0</v>
      </c>
      <c r="O155" s="53">
        <f t="shared" si="44"/>
        <v>0</v>
      </c>
      <c r="P155" s="776">
        <f t="shared" si="45"/>
        <v>0.25618237005861932</v>
      </c>
      <c r="Q155" s="519">
        <f t="shared" si="37"/>
        <v>11.528206652637866</v>
      </c>
      <c r="R155" s="53"/>
      <c r="S155" s="1211">
        <f t="shared" si="38"/>
        <v>0.69169239915827185</v>
      </c>
      <c r="T155" s="1198">
        <f t="shared" si="39"/>
        <v>0.77119520730778568</v>
      </c>
      <c r="U155" s="1199">
        <f t="shared" si="39"/>
        <v>34.703784328850347</v>
      </c>
      <c r="V155" s="1199">
        <f t="shared" si="39"/>
        <v>0</v>
      </c>
      <c r="W155" s="1200">
        <f t="shared" si="39"/>
        <v>2.0822270597310211</v>
      </c>
    </row>
    <row r="156" spans="1:23">
      <c r="A156" s="123">
        <f>'Input data'!A124</f>
        <v>2024</v>
      </c>
      <c r="B156" s="1208">
        <f>'Recycling - Case 2'!AI104</f>
        <v>6437.6604656145792</v>
      </c>
      <c r="C156" s="1209">
        <f t="shared" ref="C156:D171" si="46">C155</f>
        <v>0.1</v>
      </c>
      <c r="D156" s="1209">
        <f t="shared" si="46"/>
        <v>0.9</v>
      </c>
      <c r="E156" s="53">
        <v>0</v>
      </c>
      <c r="F156" s="53">
        <v>0</v>
      </c>
      <c r="G156" s="776">
        <f t="shared" si="41"/>
        <v>0.51501283724916636</v>
      </c>
      <c r="H156" s="519">
        <f t="shared" si="42"/>
        <v>23.175577676212484</v>
      </c>
      <c r="I156" s="53"/>
      <c r="J156" s="776">
        <f t="shared" si="43"/>
        <v>1.3905346605727491</v>
      </c>
      <c r="K156" s="1210">
        <f>'Recycling - Case 2'!Z144</f>
        <v>3266.3298406827407</v>
      </c>
      <c r="L156" s="1209">
        <f t="shared" ref="L156:M171" si="47">L155</f>
        <v>0.1</v>
      </c>
      <c r="M156" s="1209">
        <f t="shared" si="47"/>
        <v>0.9</v>
      </c>
      <c r="N156" s="53">
        <f t="shared" si="44"/>
        <v>0</v>
      </c>
      <c r="O156" s="53">
        <f t="shared" si="44"/>
        <v>0</v>
      </c>
      <c r="P156" s="776">
        <f t="shared" si="45"/>
        <v>0.2613063872546193</v>
      </c>
      <c r="Q156" s="519">
        <f t="shared" si="37"/>
        <v>11.758787426457868</v>
      </c>
      <c r="R156" s="53"/>
      <c r="S156" s="1211">
        <f t="shared" si="38"/>
        <v>0.70552724558747193</v>
      </c>
      <c r="T156" s="1198">
        <f t="shared" si="39"/>
        <v>0.77631922450378565</v>
      </c>
      <c r="U156" s="1199">
        <f t="shared" si="39"/>
        <v>34.934365102670355</v>
      </c>
      <c r="V156" s="1199">
        <f t="shared" si="39"/>
        <v>0</v>
      </c>
      <c r="W156" s="1200">
        <f t="shared" si="39"/>
        <v>2.0960619061602213</v>
      </c>
    </row>
    <row r="157" spans="1:23">
      <c r="A157" s="123">
        <f>'Input data'!A125</f>
        <v>2025</v>
      </c>
      <c r="B157" s="1208">
        <f>'Recycling - Case 2'!AI105</f>
        <v>6437.6604656145792</v>
      </c>
      <c r="C157" s="1209">
        <f t="shared" si="46"/>
        <v>0.1</v>
      </c>
      <c r="D157" s="1209">
        <f t="shared" si="46"/>
        <v>0.9</v>
      </c>
      <c r="E157" s="53">
        <v>0</v>
      </c>
      <c r="F157" s="53">
        <v>0</v>
      </c>
      <c r="G157" s="776">
        <f t="shared" si="41"/>
        <v>0.51501283724916636</v>
      </c>
      <c r="H157" s="519">
        <f t="shared" si="42"/>
        <v>23.175577676212484</v>
      </c>
      <c r="I157" s="53"/>
      <c r="J157" s="776">
        <f t="shared" si="43"/>
        <v>1.3905346605727491</v>
      </c>
      <c r="K157" s="1210">
        <f>'Recycling - Case 2'!Z145</f>
        <v>3327.4801729303604</v>
      </c>
      <c r="L157" s="1209">
        <f t="shared" si="47"/>
        <v>0.1</v>
      </c>
      <c r="M157" s="1209">
        <f t="shared" si="47"/>
        <v>0.9</v>
      </c>
      <c r="N157" s="53">
        <f t="shared" si="44"/>
        <v>0</v>
      </c>
      <c r="O157" s="53">
        <f t="shared" si="44"/>
        <v>0</v>
      </c>
      <c r="P157" s="776">
        <f t="shared" si="45"/>
        <v>0.26619841383442888</v>
      </c>
      <c r="Q157" s="519">
        <f t="shared" si="37"/>
        <v>11.978928622549297</v>
      </c>
      <c r="R157" s="53"/>
      <c r="S157" s="1211">
        <f t="shared" si="38"/>
        <v>0.71873571735295783</v>
      </c>
      <c r="T157" s="1198">
        <f t="shared" si="39"/>
        <v>0.78121125108359524</v>
      </c>
      <c r="U157" s="1199">
        <f t="shared" si="39"/>
        <v>35.154506298761781</v>
      </c>
      <c r="V157" s="1199">
        <f t="shared" si="39"/>
        <v>0</v>
      </c>
      <c r="W157" s="1200">
        <f t="shared" si="39"/>
        <v>2.1092703779257072</v>
      </c>
    </row>
    <row r="158" spans="1:23">
      <c r="A158" s="123">
        <f>'Input data'!A126</f>
        <v>2026</v>
      </c>
      <c r="B158" s="1208">
        <f>'Recycling - Case 2'!AI106</f>
        <v>6437.6604656145792</v>
      </c>
      <c r="C158" s="1209">
        <f t="shared" si="46"/>
        <v>0.1</v>
      </c>
      <c r="D158" s="1209">
        <f t="shared" si="46"/>
        <v>0.9</v>
      </c>
      <c r="E158" s="53">
        <v>0</v>
      </c>
      <c r="F158" s="53">
        <v>0</v>
      </c>
      <c r="G158" s="776">
        <f t="shared" si="41"/>
        <v>0.51501283724916636</v>
      </c>
      <c r="H158" s="519">
        <f t="shared" si="42"/>
        <v>23.175577676212484</v>
      </c>
      <c r="I158" s="53"/>
      <c r="J158" s="776">
        <f t="shared" si="43"/>
        <v>1.3905346605727491</v>
      </c>
      <c r="K158" s="1210">
        <f>'Recycling - Case 2'!Z146</f>
        <v>3382.7896165508691</v>
      </c>
      <c r="L158" s="1209">
        <f t="shared" si="47"/>
        <v>0.1</v>
      </c>
      <c r="M158" s="1209">
        <f t="shared" si="47"/>
        <v>0.9</v>
      </c>
      <c r="N158" s="53">
        <f t="shared" si="44"/>
        <v>0</v>
      </c>
      <c r="O158" s="53">
        <f t="shared" si="44"/>
        <v>0</v>
      </c>
      <c r="P158" s="776">
        <f t="shared" si="45"/>
        <v>0.2706231693240696</v>
      </c>
      <c r="Q158" s="519">
        <f t="shared" si="37"/>
        <v>12.178042619583129</v>
      </c>
      <c r="R158" s="53"/>
      <c r="S158" s="1211">
        <f t="shared" si="38"/>
        <v>0.73068255717498776</v>
      </c>
      <c r="T158" s="1198">
        <f t="shared" si="39"/>
        <v>0.78563600657323596</v>
      </c>
      <c r="U158" s="1199">
        <f t="shared" si="39"/>
        <v>35.353620295795615</v>
      </c>
      <c r="V158" s="1199">
        <f t="shared" si="39"/>
        <v>0</v>
      </c>
      <c r="W158" s="1200">
        <f t="shared" si="39"/>
        <v>2.1212172177477369</v>
      </c>
    </row>
    <row r="159" spans="1:23">
      <c r="A159" s="123">
        <f>'Input data'!A127</f>
        <v>2027</v>
      </c>
      <c r="B159" s="1208">
        <f>'Recycling - Case 2'!AI107</f>
        <v>6437.6604656145792</v>
      </c>
      <c r="C159" s="1209">
        <f t="shared" si="46"/>
        <v>0.1</v>
      </c>
      <c r="D159" s="1209">
        <f t="shared" si="46"/>
        <v>0.9</v>
      </c>
      <c r="E159" s="53">
        <v>0</v>
      </c>
      <c r="F159" s="53">
        <v>0</v>
      </c>
      <c r="G159" s="776">
        <f t="shared" si="41"/>
        <v>0.51501283724916636</v>
      </c>
      <c r="H159" s="519">
        <f t="shared" si="42"/>
        <v>23.175577676212484</v>
      </c>
      <c r="I159" s="53"/>
      <c r="J159" s="776">
        <f t="shared" si="43"/>
        <v>1.3905346605727491</v>
      </c>
      <c r="K159" s="1210">
        <f>'Recycling - Case 2'!Z147</f>
        <v>3436.3360700456424</v>
      </c>
      <c r="L159" s="1209">
        <f t="shared" si="47"/>
        <v>0.1</v>
      </c>
      <c r="M159" s="1209">
        <f t="shared" si="47"/>
        <v>0.9</v>
      </c>
      <c r="N159" s="53">
        <f t="shared" si="44"/>
        <v>0</v>
      </c>
      <c r="O159" s="53">
        <f t="shared" si="44"/>
        <v>0</v>
      </c>
      <c r="P159" s="776">
        <f t="shared" si="45"/>
        <v>0.27490688560365145</v>
      </c>
      <c r="Q159" s="519">
        <f t="shared" si="37"/>
        <v>12.370809852164314</v>
      </c>
      <c r="R159" s="53"/>
      <c r="S159" s="1211">
        <f t="shared" si="38"/>
        <v>0.74224859112985875</v>
      </c>
      <c r="T159" s="1198">
        <f t="shared" si="39"/>
        <v>0.78991972285281786</v>
      </c>
      <c r="U159" s="1199">
        <f t="shared" si="39"/>
        <v>35.546387528376798</v>
      </c>
      <c r="V159" s="1199">
        <f t="shared" si="39"/>
        <v>0</v>
      </c>
      <c r="W159" s="1200">
        <f t="shared" si="39"/>
        <v>2.132783251702608</v>
      </c>
    </row>
    <row r="160" spans="1:23">
      <c r="A160" s="123">
        <f>'Input data'!A128</f>
        <v>2028</v>
      </c>
      <c r="B160" s="1208">
        <f>'Recycling - Case 2'!AI108</f>
        <v>6437.6604656145792</v>
      </c>
      <c r="C160" s="1209">
        <f t="shared" si="46"/>
        <v>0.1</v>
      </c>
      <c r="D160" s="1209">
        <f t="shared" si="46"/>
        <v>0.9</v>
      </c>
      <c r="E160" s="53">
        <v>0</v>
      </c>
      <c r="F160" s="53">
        <v>0</v>
      </c>
      <c r="G160" s="776">
        <f t="shared" si="41"/>
        <v>0.51501283724916636</v>
      </c>
      <c r="H160" s="519">
        <f t="shared" si="42"/>
        <v>23.175577676212484</v>
      </c>
      <c r="I160" s="53"/>
      <c r="J160" s="776">
        <f t="shared" si="43"/>
        <v>1.3905346605727491</v>
      </c>
      <c r="K160" s="1210">
        <f>'Recycling - Case 2'!Z148</f>
        <v>3487.0950456185724</v>
      </c>
      <c r="L160" s="1209">
        <f t="shared" si="47"/>
        <v>0.1</v>
      </c>
      <c r="M160" s="1209">
        <f t="shared" si="47"/>
        <v>0.9</v>
      </c>
      <c r="N160" s="53">
        <f t="shared" si="44"/>
        <v>0</v>
      </c>
      <c r="O160" s="53">
        <f t="shared" si="44"/>
        <v>0</v>
      </c>
      <c r="P160" s="776">
        <f t="shared" si="45"/>
        <v>0.27896760364948586</v>
      </c>
      <c r="Q160" s="519">
        <f t="shared" si="37"/>
        <v>12.553542164226862</v>
      </c>
      <c r="R160" s="53"/>
      <c r="S160" s="1211">
        <f t="shared" si="38"/>
        <v>0.75321252985361165</v>
      </c>
      <c r="T160" s="1198">
        <f t="shared" si="39"/>
        <v>0.79398044089865216</v>
      </c>
      <c r="U160" s="1199">
        <f t="shared" si="39"/>
        <v>35.729119840439346</v>
      </c>
      <c r="V160" s="1199">
        <f t="shared" si="39"/>
        <v>0</v>
      </c>
      <c r="W160" s="1200">
        <f t="shared" si="39"/>
        <v>2.1437471904263607</v>
      </c>
    </row>
    <row r="161" spans="1:23">
      <c r="A161" s="123">
        <f>'Input data'!A129</f>
        <v>2029</v>
      </c>
      <c r="B161" s="1208">
        <f>'Recycling - Case 2'!AI109</f>
        <v>6437.6604656145792</v>
      </c>
      <c r="C161" s="1209">
        <f t="shared" si="46"/>
        <v>0.1</v>
      </c>
      <c r="D161" s="1209">
        <f t="shared" si="46"/>
        <v>0.9</v>
      </c>
      <c r="E161" s="53">
        <v>0</v>
      </c>
      <c r="F161" s="53">
        <v>0</v>
      </c>
      <c r="G161" s="776">
        <f t="shared" si="41"/>
        <v>0.51501283724916636</v>
      </c>
      <c r="H161" s="519">
        <f t="shared" si="42"/>
        <v>23.175577676212484</v>
      </c>
      <c r="I161" s="53"/>
      <c r="J161" s="776">
        <f t="shared" si="43"/>
        <v>1.3905346605727491</v>
      </c>
      <c r="K161" s="1210">
        <f>'Recycling - Case 2'!Z149</f>
        <v>3550.2801907226872</v>
      </c>
      <c r="L161" s="1209">
        <f t="shared" si="47"/>
        <v>0.1</v>
      </c>
      <c r="M161" s="1209">
        <f t="shared" si="47"/>
        <v>0.9</v>
      </c>
      <c r="N161" s="53">
        <f t="shared" si="44"/>
        <v>0</v>
      </c>
      <c r="O161" s="53">
        <f t="shared" si="44"/>
        <v>0</v>
      </c>
      <c r="P161" s="776">
        <f t="shared" si="45"/>
        <v>0.28402241525781508</v>
      </c>
      <c r="Q161" s="519">
        <f t="shared" si="37"/>
        <v>12.781008686601673</v>
      </c>
      <c r="R161" s="53"/>
      <c r="S161" s="1211">
        <f t="shared" si="38"/>
        <v>0.76686052119610038</v>
      </c>
      <c r="T161" s="1198">
        <f t="shared" si="39"/>
        <v>0.79903525250698149</v>
      </c>
      <c r="U161" s="1199">
        <f t="shared" si="39"/>
        <v>35.956586362814157</v>
      </c>
      <c r="V161" s="1199">
        <f t="shared" si="39"/>
        <v>0</v>
      </c>
      <c r="W161" s="1200">
        <f t="shared" si="39"/>
        <v>2.1573951817688495</v>
      </c>
    </row>
    <row r="162" spans="1:23">
      <c r="A162" s="123">
        <f>'Input data'!A130</f>
        <v>2030</v>
      </c>
      <c r="B162" s="1208">
        <f>'Recycling - Case 2'!AI110</f>
        <v>6437.6604656145792</v>
      </c>
      <c r="C162" s="1209">
        <f t="shared" si="46"/>
        <v>0.1</v>
      </c>
      <c r="D162" s="1209">
        <f t="shared" si="46"/>
        <v>0.9</v>
      </c>
      <c r="E162" s="53">
        <v>0</v>
      </c>
      <c r="F162" s="53">
        <v>0</v>
      </c>
      <c r="G162" s="776">
        <f t="shared" si="41"/>
        <v>0.51501283724916636</v>
      </c>
      <c r="H162" s="519">
        <f t="shared" si="42"/>
        <v>23.175577676212484</v>
      </c>
      <c r="I162" s="53"/>
      <c r="J162" s="776">
        <f t="shared" si="43"/>
        <v>1.3905346605727491</v>
      </c>
      <c r="K162" s="1210">
        <f>'Recycling - Case 2'!Z150</f>
        <v>3612.8440237006225</v>
      </c>
      <c r="L162" s="1209">
        <f t="shared" si="47"/>
        <v>0.1</v>
      </c>
      <c r="M162" s="1209">
        <f t="shared" si="47"/>
        <v>0.9</v>
      </c>
      <c r="N162" s="53">
        <f t="shared" si="44"/>
        <v>0</v>
      </c>
      <c r="O162" s="53">
        <f t="shared" si="44"/>
        <v>0</v>
      </c>
      <c r="P162" s="776">
        <f t="shared" si="45"/>
        <v>0.28902752189604985</v>
      </c>
      <c r="Q162" s="519">
        <f t="shared" si="37"/>
        <v>13.006238485322241</v>
      </c>
      <c r="R162" s="53"/>
      <c r="S162" s="1211">
        <f t="shared" si="38"/>
        <v>0.78037430911933447</v>
      </c>
      <c r="T162" s="1198">
        <f t="shared" si="39"/>
        <v>0.80404035914521621</v>
      </c>
      <c r="U162" s="1199">
        <f t="shared" si="39"/>
        <v>36.181816161534726</v>
      </c>
      <c r="V162" s="1199">
        <f t="shared" si="39"/>
        <v>0</v>
      </c>
      <c r="W162" s="1200">
        <f t="shared" si="39"/>
        <v>2.1709089696920838</v>
      </c>
    </row>
    <row r="163" spans="1:23">
      <c r="A163" s="123">
        <f>'Input data'!A131</f>
        <v>2031</v>
      </c>
      <c r="B163" s="1208">
        <f>'Recycling - Case 2'!AI111</f>
        <v>6437.6604656145792</v>
      </c>
      <c r="C163" s="1209">
        <f t="shared" si="46"/>
        <v>0.1</v>
      </c>
      <c r="D163" s="1209">
        <f t="shared" si="46"/>
        <v>0.9</v>
      </c>
      <c r="E163" s="53">
        <v>0</v>
      </c>
      <c r="F163" s="53">
        <v>0</v>
      </c>
      <c r="G163" s="776">
        <f t="shared" si="41"/>
        <v>0.51501283724916636</v>
      </c>
      <c r="H163" s="519">
        <f t="shared" si="42"/>
        <v>23.175577676212484</v>
      </c>
      <c r="I163" s="53"/>
      <c r="J163" s="776">
        <f t="shared" si="43"/>
        <v>1.3905346605727491</v>
      </c>
      <c r="K163" s="1210">
        <f>'Recycling - Case 2'!Z151</f>
        <v>3681.1215820084799</v>
      </c>
      <c r="L163" s="1209">
        <f t="shared" si="47"/>
        <v>0.1</v>
      </c>
      <c r="M163" s="1209">
        <f t="shared" si="47"/>
        <v>0.9</v>
      </c>
      <c r="N163" s="53">
        <f t="shared" si="44"/>
        <v>0</v>
      </c>
      <c r="O163" s="53">
        <f t="shared" si="44"/>
        <v>0</v>
      </c>
      <c r="P163" s="776">
        <f t="shared" si="45"/>
        <v>0.29448972656067846</v>
      </c>
      <c r="Q163" s="519">
        <f t="shared" si="37"/>
        <v>13.252037695230529</v>
      </c>
      <c r="R163" s="53"/>
      <c r="S163" s="1211">
        <f t="shared" si="38"/>
        <v>0.79512226171383171</v>
      </c>
      <c r="T163" s="1198">
        <f t="shared" si="39"/>
        <v>0.80950256380984476</v>
      </c>
      <c r="U163" s="1199">
        <f t="shared" si="39"/>
        <v>36.427615371443011</v>
      </c>
      <c r="V163" s="1199">
        <f t="shared" si="39"/>
        <v>0</v>
      </c>
      <c r="W163" s="1200">
        <f t="shared" si="39"/>
        <v>2.1856569222865807</v>
      </c>
    </row>
    <row r="164" spans="1:23">
      <c r="A164" s="123">
        <f>'Input data'!A132</f>
        <v>2032</v>
      </c>
      <c r="B164" s="1208">
        <f>'Recycling - Case 2'!AI112</f>
        <v>6437.6604656145792</v>
      </c>
      <c r="C164" s="1209">
        <f t="shared" si="46"/>
        <v>0.1</v>
      </c>
      <c r="D164" s="1209">
        <f t="shared" si="46"/>
        <v>0.9</v>
      </c>
      <c r="E164" s="53">
        <v>0</v>
      </c>
      <c r="F164" s="53">
        <v>0</v>
      </c>
      <c r="G164" s="776">
        <f t="shared" si="41"/>
        <v>0.51501283724916636</v>
      </c>
      <c r="H164" s="519">
        <f t="shared" si="42"/>
        <v>23.175577676212484</v>
      </c>
      <c r="I164" s="53"/>
      <c r="J164" s="776">
        <f t="shared" si="43"/>
        <v>1.3905346605727491</v>
      </c>
      <c r="K164" s="1210">
        <f>'Recycling - Case 2'!Z152</f>
        <v>3761.3857443265993</v>
      </c>
      <c r="L164" s="1209">
        <f t="shared" si="47"/>
        <v>0.1</v>
      </c>
      <c r="M164" s="1209">
        <f t="shared" si="47"/>
        <v>0.9</v>
      </c>
      <c r="N164" s="53">
        <f t="shared" si="44"/>
        <v>0</v>
      </c>
      <c r="O164" s="53">
        <f t="shared" si="44"/>
        <v>0</v>
      </c>
      <c r="P164" s="776">
        <f t="shared" si="45"/>
        <v>0.30091085954612801</v>
      </c>
      <c r="Q164" s="519">
        <f t="shared" si="37"/>
        <v>13.540988679575758</v>
      </c>
      <c r="R164" s="53"/>
      <c r="S164" s="1211">
        <f t="shared" si="38"/>
        <v>0.81245932077454541</v>
      </c>
      <c r="T164" s="1198">
        <f t="shared" si="39"/>
        <v>0.81592369679529431</v>
      </c>
      <c r="U164" s="1199">
        <f t="shared" si="39"/>
        <v>36.716566355788245</v>
      </c>
      <c r="V164" s="1199">
        <f t="shared" si="39"/>
        <v>0</v>
      </c>
      <c r="W164" s="1200">
        <f t="shared" si="39"/>
        <v>2.2029939813472943</v>
      </c>
    </row>
    <row r="165" spans="1:23">
      <c r="A165" s="123">
        <f>'Input data'!A133</f>
        <v>2033</v>
      </c>
      <c r="B165" s="1208">
        <f>'Recycling - Case 2'!AI113</f>
        <v>6437.6604656145792</v>
      </c>
      <c r="C165" s="1209">
        <f t="shared" si="46"/>
        <v>0.1</v>
      </c>
      <c r="D165" s="1209">
        <f t="shared" si="46"/>
        <v>0.9</v>
      </c>
      <c r="E165" s="53">
        <v>0</v>
      </c>
      <c r="F165" s="53">
        <v>0</v>
      </c>
      <c r="G165" s="776">
        <f t="shared" si="41"/>
        <v>0.51501283724916636</v>
      </c>
      <c r="H165" s="519">
        <f t="shared" si="42"/>
        <v>23.175577676212484</v>
      </c>
      <c r="I165" s="53"/>
      <c r="J165" s="776">
        <f t="shared" si="43"/>
        <v>1.3905346605727491</v>
      </c>
      <c r="K165" s="1210">
        <f>'Recycling - Case 2'!Z153</f>
        <v>3848.0219164089949</v>
      </c>
      <c r="L165" s="1209">
        <f t="shared" si="47"/>
        <v>0.1</v>
      </c>
      <c r="M165" s="1209">
        <f t="shared" si="47"/>
        <v>0.9</v>
      </c>
      <c r="N165" s="53">
        <f t="shared" si="44"/>
        <v>0</v>
      </c>
      <c r="O165" s="53">
        <f t="shared" si="44"/>
        <v>0</v>
      </c>
      <c r="P165" s="776">
        <f t="shared" si="45"/>
        <v>0.30784175331271968</v>
      </c>
      <c r="Q165" s="519">
        <f t="shared" si="37"/>
        <v>13.852878899072383</v>
      </c>
      <c r="R165" s="53"/>
      <c r="S165" s="1211">
        <f t="shared" si="38"/>
        <v>0.83117273394434288</v>
      </c>
      <c r="T165" s="1198">
        <f t="shared" si="39"/>
        <v>0.82285459056188603</v>
      </c>
      <c r="U165" s="1199">
        <f t="shared" si="39"/>
        <v>37.028456575284864</v>
      </c>
      <c r="V165" s="1199">
        <f t="shared" si="39"/>
        <v>0</v>
      </c>
      <c r="W165" s="1200">
        <f t="shared" si="39"/>
        <v>2.2217073945170922</v>
      </c>
    </row>
    <row r="166" spans="1:23">
      <c r="A166" s="123">
        <f>'Input data'!A134</f>
        <v>2034</v>
      </c>
      <c r="B166" s="1208">
        <f>'Recycling - Case 2'!AI114</f>
        <v>6437.6604656145792</v>
      </c>
      <c r="C166" s="1209">
        <f t="shared" si="46"/>
        <v>0.1</v>
      </c>
      <c r="D166" s="1209">
        <f t="shared" si="46"/>
        <v>0.9</v>
      </c>
      <c r="E166" s="53">
        <v>0</v>
      </c>
      <c r="F166" s="53">
        <v>0</v>
      </c>
      <c r="G166" s="776">
        <f t="shared" si="41"/>
        <v>0.51501283724916636</v>
      </c>
      <c r="H166" s="519">
        <f t="shared" si="42"/>
        <v>23.175577676212484</v>
      </c>
      <c r="I166" s="53"/>
      <c r="J166" s="776">
        <f t="shared" si="43"/>
        <v>1.3905346605727491</v>
      </c>
      <c r="K166" s="1210">
        <f>'Recycling - Case 2'!Z154</f>
        <v>3949.1309735819841</v>
      </c>
      <c r="L166" s="1209">
        <f t="shared" si="47"/>
        <v>0.1</v>
      </c>
      <c r="M166" s="1209">
        <f t="shared" si="47"/>
        <v>0.9</v>
      </c>
      <c r="N166" s="53">
        <f t="shared" si="44"/>
        <v>0</v>
      </c>
      <c r="O166" s="53">
        <f t="shared" si="44"/>
        <v>0</v>
      </c>
      <c r="P166" s="776">
        <f t="shared" si="45"/>
        <v>0.31593047788655876</v>
      </c>
      <c r="Q166" s="519">
        <f t="shared" si="37"/>
        <v>14.216871504895144</v>
      </c>
      <c r="R166" s="53"/>
      <c r="S166" s="1211">
        <f t="shared" si="38"/>
        <v>0.85301229029370862</v>
      </c>
      <c r="T166" s="1198">
        <f t="shared" si="39"/>
        <v>0.83094331513572506</v>
      </c>
      <c r="U166" s="1199">
        <f t="shared" si="39"/>
        <v>37.392449181107629</v>
      </c>
      <c r="V166" s="1199">
        <f t="shared" si="39"/>
        <v>0</v>
      </c>
      <c r="W166" s="1200">
        <f t="shared" si="39"/>
        <v>2.2435469508664578</v>
      </c>
    </row>
    <row r="167" spans="1:23">
      <c r="A167" s="123">
        <f>'Input data'!A135</f>
        <v>2035</v>
      </c>
      <c r="B167" s="1208">
        <f>'Recycling - Case 2'!AI115</f>
        <v>6437.6604656145792</v>
      </c>
      <c r="C167" s="1209">
        <f t="shared" si="46"/>
        <v>0.1</v>
      </c>
      <c r="D167" s="1209">
        <f t="shared" si="46"/>
        <v>0.9</v>
      </c>
      <c r="E167" s="53">
        <v>0</v>
      </c>
      <c r="F167" s="53">
        <v>0</v>
      </c>
      <c r="G167" s="776">
        <f t="shared" si="41"/>
        <v>0.51501283724916636</v>
      </c>
      <c r="H167" s="519">
        <f t="shared" si="42"/>
        <v>23.175577676212484</v>
      </c>
      <c r="I167" s="53"/>
      <c r="J167" s="776">
        <f t="shared" si="43"/>
        <v>1.3905346605727491</v>
      </c>
      <c r="K167" s="1210">
        <f>'Recycling - Case 2'!Z155</f>
        <v>4030.6704350808041</v>
      </c>
      <c r="L167" s="1209">
        <f t="shared" si="47"/>
        <v>0.1</v>
      </c>
      <c r="M167" s="1209">
        <f t="shared" si="47"/>
        <v>0.9</v>
      </c>
      <c r="N167" s="53">
        <f t="shared" ref="N167:O182" si="48">N165</f>
        <v>0</v>
      </c>
      <c r="O167" s="53">
        <f t="shared" si="48"/>
        <v>0</v>
      </c>
      <c r="P167" s="776">
        <f t="shared" si="45"/>
        <v>0.32245363480646438</v>
      </c>
      <c r="Q167" s="519">
        <f t="shared" si="37"/>
        <v>14.510413566290895</v>
      </c>
      <c r="R167" s="53"/>
      <c r="S167" s="1211">
        <f t="shared" si="38"/>
        <v>0.87062481397745362</v>
      </c>
      <c r="T167" s="1198">
        <f t="shared" si="39"/>
        <v>0.83746647205563074</v>
      </c>
      <c r="U167" s="1199">
        <f t="shared" si="39"/>
        <v>37.685991242503377</v>
      </c>
      <c r="V167" s="1199">
        <f t="shared" si="39"/>
        <v>0</v>
      </c>
      <c r="W167" s="1200">
        <f t="shared" si="39"/>
        <v>2.2611594745502028</v>
      </c>
    </row>
    <row r="168" spans="1:23">
      <c r="A168" s="123">
        <f>'Input data'!A136</f>
        <v>2036</v>
      </c>
      <c r="B168" s="1208">
        <f>'Recycling - Case 2'!AI116</f>
        <v>6437.6604656145792</v>
      </c>
      <c r="C168" s="1209">
        <f t="shared" si="46"/>
        <v>0.1</v>
      </c>
      <c r="D168" s="1209">
        <f t="shared" si="46"/>
        <v>0.9</v>
      </c>
      <c r="E168" s="53">
        <v>0</v>
      </c>
      <c r="F168" s="53">
        <v>0</v>
      </c>
      <c r="G168" s="776">
        <f t="shared" si="41"/>
        <v>0.51501283724916636</v>
      </c>
      <c r="H168" s="519">
        <f t="shared" si="42"/>
        <v>23.175577676212484</v>
      </c>
      <c r="I168" s="53"/>
      <c r="J168" s="776">
        <f t="shared" si="43"/>
        <v>1.3905346605727491</v>
      </c>
      <c r="K168" s="1210">
        <f>'Recycling - Case 2'!Z156</f>
        <v>4109.6267789017866</v>
      </c>
      <c r="L168" s="1209">
        <f t="shared" si="47"/>
        <v>0.1</v>
      </c>
      <c r="M168" s="1209">
        <f t="shared" si="47"/>
        <v>0.9</v>
      </c>
      <c r="N168" s="53">
        <f t="shared" si="48"/>
        <v>0</v>
      </c>
      <c r="O168" s="53">
        <f t="shared" si="48"/>
        <v>0</v>
      </c>
      <c r="P168" s="776">
        <f t="shared" si="45"/>
        <v>0.32877014231214297</v>
      </c>
      <c r="Q168" s="519">
        <f t="shared" si="37"/>
        <v>14.794656404046433</v>
      </c>
      <c r="R168" s="53"/>
      <c r="S168" s="1211">
        <f t="shared" si="38"/>
        <v>0.88767938424278592</v>
      </c>
      <c r="T168" s="1198">
        <f t="shared" si="39"/>
        <v>0.84378297956130932</v>
      </c>
      <c r="U168" s="1199">
        <f t="shared" si="39"/>
        <v>37.970234080258919</v>
      </c>
      <c r="V168" s="1199">
        <f t="shared" si="39"/>
        <v>0</v>
      </c>
      <c r="W168" s="1200">
        <f t="shared" si="39"/>
        <v>2.278214044815535</v>
      </c>
    </row>
    <row r="169" spans="1:23">
      <c r="A169" s="123">
        <f>'Input data'!A137</f>
        <v>2037</v>
      </c>
      <c r="B169" s="1208">
        <f>'Recycling - Case 2'!AI117</f>
        <v>6437.6604656145792</v>
      </c>
      <c r="C169" s="1209">
        <f t="shared" si="46"/>
        <v>0.1</v>
      </c>
      <c r="D169" s="1209">
        <f t="shared" si="46"/>
        <v>0.9</v>
      </c>
      <c r="E169" s="53">
        <v>0</v>
      </c>
      <c r="F169" s="53">
        <v>0</v>
      </c>
      <c r="G169" s="776">
        <f t="shared" si="41"/>
        <v>0.51501283724916636</v>
      </c>
      <c r="H169" s="519">
        <f t="shared" si="42"/>
        <v>23.175577676212484</v>
      </c>
      <c r="I169" s="53"/>
      <c r="J169" s="776">
        <f t="shared" si="43"/>
        <v>1.3905346605727491</v>
      </c>
      <c r="K169" s="1210">
        <f>'Recycling - Case 2'!Z157</f>
        <v>4197.8517712529874</v>
      </c>
      <c r="L169" s="1209">
        <f t="shared" si="47"/>
        <v>0.1</v>
      </c>
      <c r="M169" s="1209">
        <f t="shared" si="47"/>
        <v>0.9</v>
      </c>
      <c r="N169" s="53">
        <f t="shared" si="48"/>
        <v>0</v>
      </c>
      <c r="O169" s="53">
        <f t="shared" si="48"/>
        <v>0</v>
      </c>
      <c r="P169" s="776">
        <f t="shared" si="45"/>
        <v>0.33582814170023911</v>
      </c>
      <c r="Q169" s="519">
        <f t="shared" si="37"/>
        <v>15.112266376510755</v>
      </c>
      <c r="R169" s="53"/>
      <c r="S169" s="1211">
        <f t="shared" si="38"/>
        <v>0.90673598259064525</v>
      </c>
      <c r="T169" s="1198">
        <f t="shared" si="39"/>
        <v>0.85084097894940547</v>
      </c>
      <c r="U169" s="1199">
        <f t="shared" si="39"/>
        <v>38.287844052723237</v>
      </c>
      <c r="V169" s="1199">
        <f t="shared" si="39"/>
        <v>0</v>
      </c>
      <c r="W169" s="1200">
        <f t="shared" si="39"/>
        <v>2.2972706431633942</v>
      </c>
    </row>
    <row r="170" spans="1:23">
      <c r="A170" s="123">
        <f>'Input data'!A138</f>
        <v>2038</v>
      </c>
      <c r="B170" s="1208">
        <f>'Recycling - Case 2'!AI118</f>
        <v>6437.6604656145792</v>
      </c>
      <c r="C170" s="1209">
        <f t="shared" si="46"/>
        <v>0.1</v>
      </c>
      <c r="D170" s="1209">
        <f t="shared" si="46"/>
        <v>0.9</v>
      </c>
      <c r="E170" s="53">
        <v>0</v>
      </c>
      <c r="F170" s="53">
        <v>0</v>
      </c>
      <c r="G170" s="776">
        <f t="shared" si="41"/>
        <v>0.51501283724916636</v>
      </c>
      <c r="H170" s="519">
        <f t="shared" si="42"/>
        <v>23.175577676212484</v>
      </c>
      <c r="I170" s="53"/>
      <c r="J170" s="776">
        <f t="shared" si="43"/>
        <v>1.3905346605727491</v>
      </c>
      <c r="K170" s="1210">
        <f>'Recycling - Case 2'!Z158</f>
        <v>4285.4228841512158</v>
      </c>
      <c r="L170" s="1209">
        <f t="shared" si="47"/>
        <v>0.1</v>
      </c>
      <c r="M170" s="1209">
        <f t="shared" si="47"/>
        <v>0.9</v>
      </c>
      <c r="N170" s="53">
        <f t="shared" si="48"/>
        <v>0</v>
      </c>
      <c r="O170" s="53">
        <f t="shared" si="48"/>
        <v>0</v>
      </c>
      <c r="P170" s="776">
        <f t="shared" si="45"/>
        <v>0.34283383073209733</v>
      </c>
      <c r="Q170" s="519">
        <f t="shared" si="37"/>
        <v>15.427522382944376</v>
      </c>
      <c r="R170" s="53"/>
      <c r="S170" s="1211">
        <f t="shared" si="38"/>
        <v>0.92565134297666263</v>
      </c>
      <c r="T170" s="1198">
        <f t="shared" si="39"/>
        <v>0.85784666798126374</v>
      </c>
      <c r="U170" s="1199">
        <f t="shared" si="39"/>
        <v>38.603100059156858</v>
      </c>
      <c r="V170" s="1199">
        <f t="shared" si="39"/>
        <v>0</v>
      </c>
      <c r="W170" s="1200">
        <f t="shared" si="39"/>
        <v>2.3161860035494115</v>
      </c>
    </row>
    <row r="171" spans="1:23">
      <c r="A171" s="123">
        <f>'Input data'!A139</f>
        <v>2039</v>
      </c>
      <c r="B171" s="1208">
        <f>'Recycling - Case 2'!AI119</f>
        <v>6437.6604656145792</v>
      </c>
      <c r="C171" s="1209">
        <f t="shared" si="46"/>
        <v>0.1</v>
      </c>
      <c r="D171" s="1209">
        <f t="shared" si="46"/>
        <v>0.9</v>
      </c>
      <c r="E171" s="53">
        <v>0</v>
      </c>
      <c r="F171" s="53">
        <v>0</v>
      </c>
      <c r="G171" s="776">
        <f t="shared" si="41"/>
        <v>0.51501283724916636</v>
      </c>
      <c r="H171" s="519">
        <f t="shared" si="42"/>
        <v>23.175577676212484</v>
      </c>
      <c r="I171" s="53"/>
      <c r="J171" s="776">
        <f t="shared" si="43"/>
        <v>1.3905346605727491</v>
      </c>
      <c r="K171" s="1210">
        <f>'Recycling - Case 2'!Z159</f>
        <v>4377.5291467721845</v>
      </c>
      <c r="L171" s="1209">
        <f t="shared" si="47"/>
        <v>0.1</v>
      </c>
      <c r="M171" s="1209">
        <f t="shared" si="47"/>
        <v>0.9</v>
      </c>
      <c r="N171" s="53">
        <f t="shared" si="48"/>
        <v>0</v>
      </c>
      <c r="O171" s="53">
        <f t="shared" si="48"/>
        <v>0</v>
      </c>
      <c r="P171" s="776">
        <f t="shared" si="45"/>
        <v>0.35020233174177484</v>
      </c>
      <c r="Q171" s="519">
        <f t="shared" si="37"/>
        <v>15.759104928379864</v>
      </c>
      <c r="R171" s="53"/>
      <c r="S171" s="1211">
        <f t="shared" si="38"/>
        <v>0.94554629570279192</v>
      </c>
      <c r="T171" s="1198">
        <f t="shared" si="39"/>
        <v>0.8652151689909412</v>
      </c>
      <c r="U171" s="1199">
        <f t="shared" si="39"/>
        <v>38.934682604592346</v>
      </c>
      <c r="V171" s="1199">
        <f t="shared" si="39"/>
        <v>0</v>
      </c>
      <c r="W171" s="1200">
        <f t="shared" si="39"/>
        <v>2.3360809562755409</v>
      </c>
    </row>
    <row r="172" spans="1:23">
      <c r="A172" s="123">
        <f>'Input data'!A140</f>
        <v>2040</v>
      </c>
      <c r="B172" s="1208">
        <f>'Recycling - Case 2'!AI120</f>
        <v>6437.6604656145792</v>
      </c>
      <c r="C172" s="1209">
        <f t="shared" ref="C172:D182" si="49">C171</f>
        <v>0.1</v>
      </c>
      <c r="D172" s="1209">
        <f t="shared" si="49"/>
        <v>0.9</v>
      </c>
      <c r="E172" s="53">
        <v>0</v>
      </c>
      <c r="F172" s="53">
        <v>0</v>
      </c>
      <c r="G172" s="776">
        <f t="shared" si="41"/>
        <v>0.51501283724916636</v>
      </c>
      <c r="H172" s="519">
        <f t="shared" si="42"/>
        <v>23.175577676212484</v>
      </c>
      <c r="I172" s="53"/>
      <c r="J172" s="776">
        <f t="shared" si="43"/>
        <v>1.3905346605727491</v>
      </c>
      <c r="K172" s="1210">
        <f>'Recycling - Case 2'!Z160</f>
        <v>4470.8013872684305</v>
      </c>
      <c r="L172" s="1209">
        <f t="shared" ref="L172:M182" si="50">L171</f>
        <v>0.1</v>
      </c>
      <c r="M172" s="1209">
        <f t="shared" si="50"/>
        <v>0.9</v>
      </c>
      <c r="N172" s="53">
        <f t="shared" si="48"/>
        <v>0</v>
      </c>
      <c r="O172" s="53">
        <f t="shared" si="48"/>
        <v>0</v>
      </c>
      <c r="P172" s="776">
        <f t="shared" si="45"/>
        <v>0.35766411098147449</v>
      </c>
      <c r="Q172" s="519">
        <f t="shared" si="37"/>
        <v>16.09488499416635</v>
      </c>
      <c r="R172" s="53"/>
      <c r="S172" s="1211">
        <f t="shared" si="38"/>
        <v>0.96569309964998107</v>
      </c>
      <c r="T172" s="1198">
        <f t="shared" si="39"/>
        <v>0.8726769482306409</v>
      </c>
      <c r="U172" s="1199">
        <f t="shared" si="39"/>
        <v>39.270462670378834</v>
      </c>
      <c r="V172" s="1199">
        <f t="shared" si="39"/>
        <v>0</v>
      </c>
      <c r="W172" s="1200">
        <f t="shared" si="39"/>
        <v>2.3562277602227302</v>
      </c>
    </row>
    <row r="173" spans="1:23">
      <c r="A173" s="123">
        <f>'Input data'!A141</f>
        <v>2041</v>
      </c>
      <c r="B173" s="1208">
        <f>'Recycling - Case 2'!AI121</f>
        <v>6437.6604656145792</v>
      </c>
      <c r="C173" s="1209">
        <f t="shared" si="49"/>
        <v>0.1</v>
      </c>
      <c r="D173" s="1209">
        <f t="shared" si="49"/>
        <v>0.9</v>
      </c>
      <c r="E173" s="53">
        <v>0</v>
      </c>
      <c r="F173" s="53">
        <v>0</v>
      </c>
      <c r="G173" s="776">
        <f t="shared" si="41"/>
        <v>0.51501283724916636</v>
      </c>
      <c r="H173" s="519">
        <f t="shared" si="42"/>
        <v>23.175577676212484</v>
      </c>
      <c r="I173" s="53"/>
      <c r="J173" s="776">
        <f t="shared" si="43"/>
        <v>1.3905346605727491</v>
      </c>
      <c r="K173" s="1210">
        <f>'Recycling - Case 2'!Z161</f>
        <v>4573.4101876873783</v>
      </c>
      <c r="L173" s="1209">
        <f t="shared" si="50"/>
        <v>0.1</v>
      </c>
      <c r="M173" s="1209">
        <f t="shared" si="50"/>
        <v>0.9</v>
      </c>
      <c r="N173" s="53">
        <f t="shared" si="48"/>
        <v>0</v>
      </c>
      <c r="O173" s="53">
        <f t="shared" si="48"/>
        <v>0</v>
      </c>
      <c r="P173" s="776">
        <f t="shared" si="45"/>
        <v>0.36587281501499036</v>
      </c>
      <c r="Q173" s="519">
        <f t="shared" si="37"/>
        <v>16.464276675674562</v>
      </c>
      <c r="R173" s="53"/>
      <c r="S173" s="1211">
        <f t="shared" si="38"/>
        <v>0.98785660054047364</v>
      </c>
      <c r="T173" s="1198">
        <f t="shared" si="39"/>
        <v>0.88088565226415672</v>
      </c>
      <c r="U173" s="1199">
        <f t="shared" si="39"/>
        <v>39.639854351887045</v>
      </c>
      <c r="V173" s="1199">
        <f t="shared" si="39"/>
        <v>0</v>
      </c>
      <c r="W173" s="1200">
        <f t="shared" si="39"/>
        <v>2.3783912611132227</v>
      </c>
    </row>
    <row r="174" spans="1:23">
      <c r="A174" s="123">
        <f>'Input data'!A142</f>
        <v>2042</v>
      </c>
      <c r="B174" s="1208">
        <f>'Recycling - Case 2'!AI122</f>
        <v>6437.6604656145792</v>
      </c>
      <c r="C174" s="1209">
        <f t="shared" si="49"/>
        <v>0.1</v>
      </c>
      <c r="D174" s="1209">
        <f t="shared" si="49"/>
        <v>0.9</v>
      </c>
      <c r="E174" s="53">
        <v>0</v>
      </c>
      <c r="F174" s="53">
        <v>0</v>
      </c>
      <c r="G174" s="776">
        <f t="shared" si="41"/>
        <v>0.51501283724916636</v>
      </c>
      <c r="H174" s="519">
        <f t="shared" si="42"/>
        <v>23.175577676212484</v>
      </c>
      <c r="I174" s="53"/>
      <c r="J174" s="776">
        <f t="shared" si="43"/>
        <v>1.3905346605727491</v>
      </c>
      <c r="K174" s="1210">
        <f>'Recycling - Case 2'!Z162</f>
        <v>4673.052237396033</v>
      </c>
      <c r="L174" s="1209">
        <f t="shared" si="50"/>
        <v>0.1</v>
      </c>
      <c r="M174" s="1209">
        <f t="shared" si="50"/>
        <v>0.9</v>
      </c>
      <c r="N174" s="53">
        <f t="shared" si="48"/>
        <v>0</v>
      </c>
      <c r="O174" s="53">
        <f t="shared" si="48"/>
        <v>0</v>
      </c>
      <c r="P174" s="776">
        <f t="shared" si="45"/>
        <v>0.37384417899168271</v>
      </c>
      <c r="Q174" s="519">
        <f t="shared" si="37"/>
        <v>16.822988054625718</v>
      </c>
      <c r="R174" s="53"/>
      <c r="S174" s="1211">
        <f t="shared" si="38"/>
        <v>1.009379283277543</v>
      </c>
      <c r="T174" s="1198">
        <f t="shared" si="39"/>
        <v>0.88885701624084912</v>
      </c>
      <c r="U174" s="1199">
        <f t="shared" si="39"/>
        <v>39.998565730838202</v>
      </c>
      <c r="V174" s="1199">
        <f t="shared" si="39"/>
        <v>0</v>
      </c>
      <c r="W174" s="1200">
        <f t="shared" si="39"/>
        <v>2.3999139438502919</v>
      </c>
    </row>
    <row r="175" spans="1:23">
      <c r="A175" s="123">
        <f>'Input data'!A143</f>
        <v>2043</v>
      </c>
      <c r="B175" s="1208">
        <f>'Recycling - Case 2'!AI123</f>
        <v>6437.6604656145792</v>
      </c>
      <c r="C175" s="1209">
        <f t="shared" si="49"/>
        <v>0.1</v>
      </c>
      <c r="D175" s="1209">
        <f t="shared" si="49"/>
        <v>0.9</v>
      </c>
      <c r="E175" s="53">
        <v>0</v>
      </c>
      <c r="F175" s="53">
        <v>0</v>
      </c>
      <c r="G175" s="776">
        <f t="shared" si="41"/>
        <v>0.51501283724916636</v>
      </c>
      <c r="H175" s="519">
        <f t="shared" si="42"/>
        <v>23.175577676212484</v>
      </c>
      <c r="I175" s="53"/>
      <c r="J175" s="776">
        <f t="shared" si="43"/>
        <v>1.3905346605727491</v>
      </c>
      <c r="K175" s="1210">
        <f>'Recycling - Case 2'!Z163</f>
        <v>4774.8796293139649</v>
      </c>
      <c r="L175" s="1209">
        <f t="shared" si="50"/>
        <v>0.1</v>
      </c>
      <c r="M175" s="1209">
        <f t="shared" si="50"/>
        <v>0.9</v>
      </c>
      <c r="N175" s="53">
        <f t="shared" si="48"/>
        <v>0</v>
      </c>
      <c r="O175" s="53">
        <f t="shared" si="48"/>
        <v>0</v>
      </c>
      <c r="P175" s="776">
        <f t="shared" si="45"/>
        <v>0.38199037034511724</v>
      </c>
      <c r="Q175" s="519">
        <f t="shared" si="37"/>
        <v>17.189566665530275</v>
      </c>
      <c r="R175" s="53"/>
      <c r="S175" s="1211">
        <f t="shared" si="38"/>
        <v>1.0313739999318163</v>
      </c>
      <c r="T175" s="1198">
        <f t="shared" si="39"/>
        <v>0.89700320759428354</v>
      </c>
      <c r="U175" s="1199">
        <f t="shared" si="39"/>
        <v>40.365144341742763</v>
      </c>
      <c r="V175" s="1199">
        <f t="shared" si="39"/>
        <v>0</v>
      </c>
      <c r="W175" s="1200">
        <f t="shared" si="39"/>
        <v>2.4219086605045654</v>
      </c>
    </row>
    <row r="176" spans="1:23">
      <c r="A176" s="123">
        <f>'Input data'!A144</f>
        <v>2044</v>
      </c>
      <c r="B176" s="1208">
        <f>'Recycling - Case 2'!AI124</f>
        <v>6437.6604656145792</v>
      </c>
      <c r="C176" s="1209">
        <f t="shared" si="49"/>
        <v>0.1</v>
      </c>
      <c r="D176" s="1209">
        <f t="shared" si="49"/>
        <v>0.9</v>
      </c>
      <c r="E176" s="53">
        <v>0</v>
      </c>
      <c r="F176" s="53">
        <v>0</v>
      </c>
      <c r="G176" s="776">
        <f t="shared" si="41"/>
        <v>0.51501283724916636</v>
      </c>
      <c r="H176" s="519">
        <f t="shared" si="42"/>
        <v>23.175577676212484</v>
      </c>
      <c r="I176" s="53"/>
      <c r="J176" s="776">
        <f t="shared" si="43"/>
        <v>1.3905346605727491</v>
      </c>
      <c r="K176" s="1210">
        <f>'Recycling - Case 2'!Z164</f>
        <v>4880.2790721144393</v>
      </c>
      <c r="L176" s="1209">
        <f t="shared" si="50"/>
        <v>0.1</v>
      </c>
      <c r="M176" s="1209">
        <f t="shared" si="50"/>
        <v>0.9</v>
      </c>
      <c r="N176" s="53">
        <f t="shared" si="48"/>
        <v>0</v>
      </c>
      <c r="O176" s="53">
        <f t="shared" si="48"/>
        <v>0</v>
      </c>
      <c r="P176" s="776">
        <f t="shared" si="45"/>
        <v>0.39042232576915525</v>
      </c>
      <c r="Q176" s="519">
        <f t="shared" si="37"/>
        <v>17.569004659611984</v>
      </c>
      <c r="R176" s="53"/>
      <c r="S176" s="1211">
        <f t="shared" si="38"/>
        <v>1.054140279576719</v>
      </c>
      <c r="T176" s="1198">
        <f t="shared" si="39"/>
        <v>0.90543516301832161</v>
      </c>
      <c r="U176" s="1199">
        <f t="shared" si="39"/>
        <v>40.744582335824468</v>
      </c>
      <c r="V176" s="1199">
        <f t="shared" si="39"/>
        <v>0</v>
      </c>
      <c r="W176" s="1200">
        <f t="shared" si="39"/>
        <v>2.4446749401494681</v>
      </c>
    </row>
    <row r="177" spans="1:23">
      <c r="A177" s="123">
        <f>'Input data'!A145</f>
        <v>2045</v>
      </c>
      <c r="B177" s="1208">
        <f>'Recycling - Case 2'!AI125</f>
        <v>6437.6604656145792</v>
      </c>
      <c r="C177" s="1209">
        <f t="shared" si="49"/>
        <v>0.1</v>
      </c>
      <c r="D177" s="1209">
        <f t="shared" si="49"/>
        <v>0.9</v>
      </c>
      <c r="E177" s="53">
        <v>0</v>
      </c>
      <c r="F177" s="53">
        <v>0</v>
      </c>
      <c r="G177" s="776">
        <f t="shared" si="41"/>
        <v>0.51501283724916636</v>
      </c>
      <c r="H177" s="519">
        <f t="shared" si="42"/>
        <v>23.175577676212484</v>
      </c>
      <c r="I177" s="53"/>
      <c r="J177" s="776">
        <f t="shared" si="43"/>
        <v>1.3905346605727491</v>
      </c>
      <c r="K177" s="1210">
        <f>'Recycling - Case 2'!Z165</f>
        <v>4989.8209734474995</v>
      </c>
      <c r="L177" s="1209">
        <f t="shared" si="50"/>
        <v>0.1</v>
      </c>
      <c r="M177" s="1209">
        <f t="shared" si="50"/>
        <v>0.9</v>
      </c>
      <c r="N177" s="53">
        <f t="shared" si="48"/>
        <v>0</v>
      </c>
      <c r="O177" s="53">
        <f t="shared" si="48"/>
        <v>0</v>
      </c>
      <c r="P177" s="776">
        <f t="shared" si="45"/>
        <v>0.3991856778758</v>
      </c>
      <c r="Q177" s="519">
        <f t="shared" si="37"/>
        <v>17.963355504410998</v>
      </c>
      <c r="R177" s="53"/>
      <c r="S177" s="1211">
        <f t="shared" si="38"/>
        <v>1.0778013302646599</v>
      </c>
      <c r="T177" s="1198">
        <f t="shared" si="39"/>
        <v>0.9141985151249663</v>
      </c>
      <c r="U177" s="1199">
        <f t="shared" si="39"/>
        <v>41.138933180623482</v>
      </c>
      <c r="V177" s="1199">
        <f t="shared" si="39"/>
        <v>0</v>
      </c>
      <c r="W177" s="1200">
        <f t="shared" si="39"/>
        <v>2.4683359908374092</v>
      </c>
    </row>
    <row r="178" spans="1:23">
      <c r="A178" s="123">
        <f>'Input data'!A146</f>
        <v>2046</v>
      </c>
      <c r="B178" s="1208">
        <f>'Recycling - Case 2'!AI126</f>
        <v>6437.6604656145792</v>
      </c>
      <c r="C178" s="1209">
        <f t="shared" si="49"/>
        <v>0.1</v>
      </c>
      <c r="D178" s="1209">
        <f t="shared" si="49"/>
        <v>0.9</v>
      </c>
      <c r="E178" s="53">
        <v>0</v>
      </c>
      <c r="F178" s="53">
        <v>0</v>
      </c>
      <c r="G178" s="776">
        <f t="shared" si="41"/>
        <v>0.51501283724916636</v>
      </c>
      <c r="H178" s="519">
        <f t="shared" si="42"/>
        <v>23.175577676212484</v>
      </c>
      <c r="I178" s="53"/>
      <c r="J178" s="776">
        <f t="shared" si="43"/>
        <v>1.3905346605727491</v>
      </c>
      <c r="K178" s="1210">
        <f>'Recycling - Case 2'!Z166</f>
        <v>5111.6211020205074</v>
      </c>
      <c r="L178" s="1209">
        <f t="shared" si="50"/>
        <v>0.1</v>
      </c>
      <c r="M178" s="1209">
        <f t="shared" si="50"/>
        <v>0.9</v>
      </c>
      <c r="N178" s="53">
        <f t="shared" si="48"/>
        <v>0</v>
      </c>
      <c r="O178" s="53">
        <f t="shared" si="48"/>
        <v>0</v>
      </c>
      <c r="P178" s="776">
        <f t="shared" si="45"/>
        <v>0.40892968816164066</v>
      </c>
      <c r="Q178" s="519">
        <f t="shared" si="37"/>
        <v>18.401835967273826</v>
      </c>
      <c r="R178" s="53"/>
      <c r="S178" s="1211">
        <f t="shared" si="38"/>
        <v>1.1041101580364296</v>
      </c>
      <c r="T178" s="1198">
        <f t="shared" si="39"/>
        <v>0.92394252541080701</v>
      </c>
      <c r="U178" s="1199">
        <f t="shared" si="39"/>
        <v>41.57741364348631</v>
      </c>
      <c r="V178" s="1199">
        <f t="shared" si="39"/>
        <v>0</v>
      </c>
      <c r="W178" s="1200">
        <f t="shared" si="39"/>
        <v>2.4946448186091787</v>
      </c>
    </row>
    <row r="179" spans="1:23">
      <c r="A179" s="123">
        <f>'Input data'!A147</f>
        <v>2047</v>
      </c>
      <c r="B179" s="1208">
        <f>'Recycling - Case 2'!AI127</f>
        <v>6437.6604656145792</v>
      </c>
      <c r="C179" s="1209">
        <f t="shared" si="49"/>
        <v>0.1</v>
      </c>
      <c r="D179" s="1209">
        <f t="shared" si="49"/>
        <v>0.9</v>
      </c>
      <c r="E179" s="53">
        <v>0</v>
      </c>
      <c r="F179" s="53">
        <v>0</v>
      </c>
      <c r="G179" s="776">
        <f t="shared" si="41"/>
        <v>0.51501283724916636</v>
      </c>
      <c r="H179" s="519">
        <f t="shared" si="42"/>
        <v>23.175577676212484</v>
      </c>
      <c r="I179" s="53"/>
      <c r="J179" s="776">
        <f t="shared" si="43"/>
        <v>1.3905346605727491</v>
      </c>
      <c r="K179" s="1210">
        <f>'Recycling - Case 2'!Z167</f>
        <v>5199.0583729432956</v>
      </c>
      <c r="L179" s="1209">
        <f t="shared" si="50"/>
        <v>0.1</v>
      </c>
      <c r="M179" s="1209">
        <f t="shared" si="50"/>
        <v>0.9</v>
      </c>
      <c r="N179" s="53">
        <f t="shared" si="48"/>
        <v>0</v>
      </c>
      <c r="O179" s="53">
        <f t="shared" si="48"/>
        <v>0</v>
      </c>
      <c r="P179" s="776">
        <f t="shared" si="45"/>
        <v>0.41592466983546372</v>
      </c>
      <c r="Q179" s="519">
        <f t="shared" si="37"/>
        <v>18.716610142595865</v>
      </c>
      <c r="R179" s="53"/>
      <c r="S179" s="1211">
        <f t="shared" si="38"/>
        <v>1.1229966085557519</v>
      </c>
      <c r="T179" s="1198">
        <f t="shared" si="39"/>
        <v>0.93093750708463008</v>
      </c>
      <c r="U179" s="1199">
        <f t="shared" si="39"/>
        <v>41.892187818808353</v>
      </c>
      <c r="V179" s="1199">
        <f t="shared" si="39"/>
        <v>0</v>
      </c>
      <c r="W179" s="1200">
        <f t="shared" si="39"/>
        <v>2.5135312691285012</v>
      </c>
    </row>
    <row r="180" spans="1:23">
      <c r="A180" s="123">
        <f>'Input data'!A148</f>
        <v>2048</v>
      </c>
      <c r="B180" s="1208">
        <f>'Recycling - Case 2'!AI128</f>
        <v>6437.6604656145792</v>
      </c>
      <c r="C180" s="1209">
        <f t="shared" si="49"/>
        <v>0.1</v>
      </c>
      <c r="D180" s="1209">
        <f t="shared" si="49"/>
        <v>0.9</v>
      </c>
      <c r="E180" s="53">
        <v>0</v>
      </c>
      <c r="F180" s="53">
        <v>0</v>
      </c>
      <c r="G180" s="776">
        <f t="shared" si="41"/>
        <v>0.51501283724916636</v>
      </c>
      <c r="H180" s="519">
        <f t="shared" si="42"/>
        <v>23.175577676212484</v>
      </c>
      <c r="I180" s="53"/>
      <c r="J180" s="776">
        <f t="shared" si="43"/>
        <v>1.3905346605727491</v>
      </c>
      <c r="K180" s="1210">
        <f>'Recycling - Case 2'!Z168</f>
        <v>5289.613511597383</v>
      </c>
      <c r="L180" s="1209">
        <f t="shared" si="50"/>
        <v>0.1</v>
      </c>
      <c r="M180" s="1209">
        <f t="shared" si="50"/>
        <v>0.9</v>
      </c>
      <c r="N180" s="53">
        <f t="shared" si="48"/>
        <v>0</v>
      </c>
      <c r="O180" s="53">
        <f t="shared" si="48"/>
        <v>0</v>
      </c>
      <c r="P180" s="776">
        <f t="shared" si="45"/>
        <v>0.42316908092779071</v>
      </c>
      <c r="Q180" s="519">
        <f t="shared" si="37"/>
        <v>19.042608641750579</v>
      </c>
      <c r="R180" s="53"/>
      <c r="S180" s="1211">
        <f t="shared" si="38"/>
        <v>1.1425565185050348</v>
      </c>
      <c r="T180" s="1198">
        <f t="shared" si="39"/>
        <v>0.93818191817695706</v>
      </c>
      <c r="U180" s="1199">
        <f t="shared" si="39"/>
        <v>42.21818631796306</v>
      </c>
      <c r="V180" s="1199">
        <f t="shared" si="39"/>
        <v>0</v>
      </c>
      <c r="W180" s="1200">
        <f t="shared" si="39"/>
        <v>2.5330911790777839</v>
      </c>
    </row>
    <row r="181" spans="1:23">
      <c r="A181" s="123">
        <f>'Input data'!A149</f>
        <v>2049</v>
      </c>
      <c r="B181" s="1208">
        <f>'Recycling - Case 2'!AI129</f>
        <v>6437.6604656145792</v>
      </c>
      <c r="C181" s="1209">
        <f t="shared" si="49"/>
        <v>0.1</v>
      </c>
      <c r="D181" s="1209">
        <f t="shared" si="49"/>
        <v>0.9</v>
      </c>
      <c r="E181" s="53">
        <v>0</v>
      </c>
      <c r="F181" s="53">
        <v>0</v>
      </c>
      <c r="G181" s="776">
        <f t="shared" si="41"/>
        <v>0.51501283724916636</v>
      </c>
      <c r="H181" s="519">
        <f t="shared" si="42"/>
        <v>23.175577676212484</v>
      </c>
      <c r="I181" s="53"/>
      <c r="J181" s="776">
        <f t="shared" si="43"/>
        <v>1.3905346605727491</v>
      </c>
      <c r="K181" s="1210">
        <f>'Recycling - Case 2'!Z169</f>
        <v>5377.5009175276673</v>
      </c>
      <c r="L181" s="1209">
        <f t="shared" si="50"/>
        <v>0.1</v>
      </c>
      <c r="M181" s="1209">
        <f t="shared" si="50"/>
        <v>0.9</v>
      </c>
      <c r="N181" s="53">
        <f t="shared" si="48"/>
        <v>0</v>
      </c>
      <c r="O181" s="53">
        <f t="shared" si="48"/>
        <v>0</v>
      </c>
      <c r="P181" s="776">
        <f t="shared" si="45"/>
        <v>0.4302000734022135</v>
      </c>
      <c r="Q181" s="519">
        <f t="shared" si="37"/>
        <v>19.359003303099602</v>
      </c>
      <c r="R181" s="53"/>
      <c r="S181" s="1211">
        <f t="shared" si="38"/>
        <v>1.1615401981859761</v>
      </c>
      <c r="T181" s="1198">
        <f t="shared" si="39"/>
        <v>0.9452129106513798</v>
      </c>
      <c r="U181" s="1199">
        <f t="shared" si="39"/>
        <v>42.534580979312082</v>
      </c>
      <c r="V181" s="1199">
        <f t="shared" si="39"/>
        <v>0</v>
      </c>
      <c r="W181" s="1200">
        <f t="shared" si="39"/>
        <v>2.5520748587587252</v>
      </c>
    </row>
    <row r="182" spans="1:23" ht="15.75" thickBot="1">
      <c r="A182" s="123">
        <f>'Input data'!A150</f>
        <v>2050</v>
      </c>
      <c r="B182" s="1208">
        <f>'Recycling - Case 2'!AI130</f>
        <v>6437.6604656145792</v>
      </c>
      <c r="C182" s="578">
        <f t="shared" si="49"/>
        <v>0.1</v>
      </c>
      <c r="D182" s="578">
        <f t="shared" si="49"/>
        <v>0.9</v>
      </c>
      <c r="E182" s="1212">
        <v>0</v>
      </c>
      <c r="F182" s="1212">
        <v>0</v>
      </c>
      <c r="G182" s="1213">
        <f t="shared" si="41"/>
        <v>0.51501283724916636</v>
      </c>
      <c r="H182" s="1144">
        <f t="shared" si="42"/>
        <v>23.175577676212484</v>
      </c>
      <c r="I182" s="1212"/>
      <c r="J182" s="1213">
        <f t="shared" si="43"/>
        <v>1.3905346605727491</v>
      </c>
      <c r="K182" s="1210">
        <f>'Recycling - Case 2'!Z170</f>
        <v>5465.916608694276</v>
      </c>
      <c r="L182" s="578">
        <f t="shared" si="50"/>
        <v>0.1</v>
      </c>
      <c r="M182" s="578">
        <f t="shared" si="50"/>
        <v>0.9</v>
      </c>
      <c r="N182" s="1212">
        <f t="shared" si="48"/>
        <v>0</v>
      </c>
      <c r="O182" s="1212">
        <f t="shared" si="48"/>
        <v>0</v>
      </c>
      <c r="P182" s="1213">
        <f t="shared" si="45"/>
        <v>0.43727332869554214</v>
      </c>
      <c r="Q182" s="1144">
        <f t="shared" si="37"/>
        <v>19.677299791299394</v>
      </c>
      <c r="R182" s="1212"/>
      <c r="S182" s="1214">
        <f t="shared" si="38"/>
        <v>1.1806379874779636</v>
      </c>
      <c r="T182" s="1215">
        <f t="shared" si="39"/>
        <v>0.9522861659447085</v>
      </c>
      <c r="U182" s="1216">
        <f t="shared" si="39"/>
        <v>42.852877467511874</v>
      </c>
      <c r="V182" s="1216">
        <f t="shared" si="39"/>
        <v>0</v>
      </c>
      <c r="W182" s="1217">
        <f t="shared" si="39"/>
        <v>2.5711726480507124</v>
      </c>
    </row>
    <row r="183" spans="1:23">
      <c r="A183" s="1202" t="s">
        <v>649</v>
      </c>
      <c r="B183" s="1203"/>
      <c r="C183" s="1218"/>
      <c r="D183" s="1218"/>
      <c r="E183" s="1219"/>
      <c r="F183" s="1219"/>
      <c r="G183" s="1220"/>
      <c r="H183" s="1221"/>
      <c r="I183" s="1222"/>
      <c r="J183" s="1220"/>
      <c r="K183" s="1223"/>
      <c r="L183" s="1218"/>
      <c r="M183" s="1218"/>
      <c r="N183" s="1219"/>
      <c r="O183" s="1219"/>
      <c r="P183" s="1220"/>
      <c r="Q183" s="1221"/>
      <c r="R183" s="1219"/>
      <c r="S183" s="1224"/>
      <c r="T183" s="1194"/>
      <c r="U183" s="1195"/>
      <c r="V183" s="1195"/>
      <c r="W183" s="1196"/>
    </row>
    <row r="184" spans="1:23">
      <c r="A184" s="123">
        <f>'Input data'!A118</f>
        <v>2018</v>
      </c>
      <c r="B184" s="1208">
        <f>'Recycling - Case 2'!AI98</f>
        <v>3707.5235423427162</v>
      </c>
      <c r="C184" s="1209">
        <f>($C$188-$C$80)/($A$188-$A$80)+C80</f>
        <v>6.0000000000000005E-2</v>
      </c>
      <c r="D184" s="1209">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0">
        <f>'Recycling - Case 3'!Z138</f>
        <v>1789.9687605419947</v>
      </c>
      <c r="L184" s="1209">
        <f>($L$188-$L$80)/($A$188-$A$80)+L80</f>
        <v>0.1</v>
      </c>
      <c r="M184" s="1209">
        <f>1-L184</f>
        <v>0.9</v>
      </c>
      <c r="N184" s="53">
        <f>N148</f>
        <v>0</v>
      </c>
      <c r="O184" s="53">
        <f>O148</f>
        <v>0</v>
      </c>
      <c r="P184" s="776">
        <f t="shared" ref="P184:P216" si="54">L184*$D$5*K184/1000-N184</f>
        <v>0.14319750084335958</v>
      </c>
      <c r="Q184" s="519">
        <f t="shared" ref="Q184:Q216" si="55">M184*$D$4*K184/1000-O184</f>
        <v>6.4438875379511806</v>
      </c>
      <c r="R184" s="53"/>
      <c r="S184" s="1211">
        <f t="shared" ref="S184:S216" si="56">M184*$D$7*K184/1000</f>
        <v>0.38663325227707085</v>
      </c>
      <c r="T184" s="1198">
        <f t="shared" ref="T184:W216" si="57">G184+P184</f>
        <v>0.32115863087580998</v>
      </c>
      <c r="U184" s="1199">
        <f t="shared" si="57"/>
        <v>20.384176057159792</v>
      </c>
      <c r="V184" s="1199">
        <f t="shared" si="57"/>
        <v>0</v>
      </c>
      <c r="W184" s="1200">
        <f t="shared" si="57"/>
        <v>1.2230505634295874</v>
      </c>
    </row>
    <row r="185" spans="1:23">
      <c r="A185" s="123">
        <f>'Input data'!A119</f>
        <v>2019</v>
      </c>
      <c r="B185" s="1208">
        <f>'Recycling - Case 2'!AI99</f>
        <v>4010.8720893729233</v>
      </c>
      <c r="C185" s="1209">
        <f>($C$188-$C$80)/($A$188-$A$80)+C184</f>
        <v>7.0000000000000007E-2</v>
      </c>
      <c r="D185" s="1209">
        <f t="shared" ref="D185:D216" si="58">1-C185</f>
        <v>0.92999999999999994</v>
      </c>
      <c r="E185" s="53">
        <v>0</v>
      </c>
      <c r="F185" s="53">
        <v>0</v>
      </c>
      <c r="G185" s="776">
        <f t="shared" si="51"/>
        <v>0.22460883700488374</v>
      </c>
      <c r="H185" s="519">
        <f t="shared" si="52"/>
        <v>14.920444172467274</v>
      </c>
      <c r="I185" s="53"/>
      <c r="J185" s="776">
        <f t="shared" si="53"/>
        <v>0.89522665034803639</v>
      </c>
      <c r="K185" s="1210">
        <f>'Recycling - Case 3'!Z139</f>
        <v>2562.551002317176</v>
      </c>
      <c r="L185" s="1209">
        <f>($L$188-$L$80)/($A$188-$A$80)+L184</f>
        <v>0.1</v>
      </c>
      <c r="M185" s="1209">
        <f t="shared" ref="M185:M216" si="59">1-L185</f>
        <v>0.9</v>
      </c>
      <c r="N185" s="53">
        <f t="shared" ref="N185:O200" si="60">N183</f>
        <v>0</v>
      </c>
      <c r="O185" s="53">
        <f t="shared" si="60"/>
        <v>0</v>
      </c>
      <c r="P185" s="776">
        <f t="shared" si="54"/>
        <v>0.20500408018537411</v>
      </c>
      <c r="Q185" s="519">
        <f t="shared" si="55"/>
        <v>9.2251836083418333</v>
      </c>
      <c r="R185" s="53"/>
      <c r="S185" s="1211">
        <f t="shared" si="56"/>
        <v>0.55351101650050993</v>
      </c>
      <c r="T185" s="1198">
        <f t="shared" si="57"/>
        <v>0.42961291719025785</v>
      </c>
      <c r="U185" s="1199">
        <f t="shared" si="57"/>
        <v>24.145627780809107</v>
      </c>
      <c r="V185" s="1199">
        <f t="shared" si="57"/>
        <v>0</v>
      </c>
      <c r="W185" s="1200">
        <f t="shared" si="57"/>
        <v>1.4487376668485463</v>
      </c>
    </row>
    <row r="186" spans="1:23">
      <c r="A186" s="123">
        <f>'Input data'!A120</f>
        <v>2020</v>
      </c>
      <c r="B186" s="1208">
        <f>'Recycling - Case 2'!AI100</f>
        <v>4617.5691834333375</v>
      </c>
      <c r="C186" s="1209">
        <f t="shared" ref="C186:C187" si="61">($C$188-$C$80)/($A$188-$A$80)+C185</f>
        <v>0.08</v>
      </c>
      <c r="D186" s="1209">
        <f t="shared" si="58"/>
        <v>0.92</v>
      </c>
      <c r="E186" s="53">
        <v>0</v>
      </c>
      <c r="F186" s="53">
        <v>0</v>
      </c>
      <c r="G186" s="776">
        <f t="shared" si="51"/>
        <v>0.29552442773973359</v>
      </c>
      <c r="H186" s="519">
        <f t="shared" si="52"/>
        <v>16.992654595034679</v>
      </c>
      <c r="I186" s="53"/>
      <c r="J186" s="776">
        <f t="shared" si="53"/>
        <v>1.0195592757020808</v>
      </c>
      <c r="K186" s="1210">
        <f>'Recycling - Case 3'!Z140</f>
        <v>2560.6366375303887</v>
      </c>
      <c r="L186" s="1209">
        <f t="shared" ref="L186:L187" si="62">($L$188-$L$80)/($A$188-$A$80)+L185</f>
        <v>0.1</v>
      </c>
      <c r="M186" s="1209">
        <f t="shared" si="59"/>
        <v>0.9</v>
      </c>
      <c r="N186" s="53">
        <f t="shared" si="60"/>
        <v>0</v>
      </c>
      <c r="O186" s="53">
        <f t="shared" si="60"/>
        <v>0</v>
      </c>
      <c r="P186" s="776">
        <f t="shared" si="54"/>
        <v>0.20485093100243115</v>
      </c>
      <c r="Q186" s="519">
        <f t="shared" si="55"/>
        <v>9.2182918951094006</v>
      </c>
      <c r="R186" s="53"/>
      <c r="S186" s="1211">
        <f t="shared" si="56"/>
        <v>0.55309751370656401</v>
      </c>
      <c r="T186" s="1198">
        <f t="shared" si="57"/>
        <v>0.50037535874216477</v>
      </c>
      <c r="U186" s="1199">
        <f t="shared" si="57"/>
        <v>26.210946490144082</v>
      </c>
      <c r="V186" s="1199">
        <f t="shared" si="57"/>
        <v>0</v>
      </c>
      <c r="W186" s="1200">
        <f t="shared" si="57"/>
        <v>1.572656789408645</v>
      </c>
    </row>
    <row r="187" spans="1:23">
      <c r="A187" s="123">
        <f>'Input data'!A121</f>
        <v>2021</v>
      </c>
      <c r="B187" s="1208">
        <f>'Recycling - Case 2'!AI101</f>
        <v>5830.9633715541659</v>
      </c>
      <c r="C187" s="1209">
        <f t="shared" si="61"/>
        <v>0.09</v>
      </c>
      <c r="D187" s="1209">
        <f t="shared" si="58"/>
        <v>0.91</v>
      </c>
      <c r="E187" s="53">
        <v>0</v>
      </c>
      <c r="F187" s="53">
        <v>0</v>
      </c>
      <c r="G187" s="776">
        <f t="shared" si="51"/>
        <v>0.41982936275189991</v>
      </c>
      <c r="H187" s="519">
        <f t="shared" si="52"/>
        <v>21.224706672457163</v>
      </c>
      <c r="I187" s="53"/>
      <c r="J187" s="776">
        <f t="shared" si="53"/>
        <v>1.2734824003474299</v>
      </c>
      <c r="K187" s="1210">
        <f>'Recycling - Case 3'!Z141</f>
        <v>2935.6191232226211</v>
      </c>
      <c r="L187" s="1209">
        <f t="shared" si="62"/>
        <v>0.1</v>
      </c>
      <c r="M187" s="1209">
        <f t="shared" si="59"/>
        <v>0.9</v>
      </c>
      <c r="N187" s="53">
        <f t="shared" si="60"/>
        <v>0</v>
      </c>
      <c r="O187" s="53">
        <f t="shared" si="60"/>
        <v>0</v>
      </c>
      <c r="P187" s="776">
        <f t="shared" si="54"/>
        <v>0.23484952985780974</v>
      </c>
      <c r="Q187" s="519">
        <f t="shared" si="55"/>
        <v>10.568228843601437</v>
      </c>
      <c r="R187" s="53"/>
      <c r="S187" s="1211">
        <f t="shared" si="56"/>
        <v>0.6340937306160862</v>
      </c>
      <c r="T187" s="1198">
        <f t="shared" si="57"/>
        <v>0.65467889260970968</v>
      </c>
      <c r="U187" s="1199">
        <f t="shared" si="57"/>
        <v>31.792935516058598</v>
      </c>
      <c r="V187" s="1199">
        <f t="shared" si="57"/>
        <v>0</v>
      </c>
      <c r="W187" s="1200">
        <f t="shared" si="57"/>
        <v>1.9075761309635162</v>
      </c>
    </row>
    <row r="188" spans="1:23">
      <c r="A188" s="123">
        <f>'Input data'!A122</f>
        <v>2022</v>
      </c>
      <c r="B188" s="1208">
        <f>'Recycling - Case 2'!AI102</f>
        <v>6437.6604656145792</v>
      </c>
      <c r="C188" s="1209">
        <f>'Recycling - Case 2'!E31</f>
        <v>0.1</v>
      </c>
      <c r="D188" s="1209">
        <f t="shared" si="58"/>
        <v>0.9</v>
      </c>
      <c r="E188" s="53">
        <v>0</v>
      </c>
      <c r="F188" s="53">
        <v>0</v>
      </c>
      <c r="G188" s="776">
        <f t="shared" si="51"/>
        <v>0.51501283724916636</v>
      </c>
      <c r="H188" s="519">
        <f t="shared" si="52"/>
        <v>23.175577676212484</v>
      </c>
      <c r="I188" s="53"/>
      <c r="J188" s="776">
        <f t="shared" si="53"/>
        <v>1.3905346605727491</v>
      </c>
      <c r="K188" s="1210">
        <f>'Recycling - Case 3'!Z142</f>
        <v>3145.7858208059524</v>
      </c>
      <c r="L188" s="1209">
        <f>'Recycling - Case 2'!E31</f>
        <v>0.1</v>
      </c>
      <c r="M188" s="1209">
        <f t="shared" si="59"/>
        <v>0.9</v>
      </c>
      <c r="N188" s="53">
        <f t="shared" si="60"/>
        <v>0</v>
      </c>
      <c r="O188" s="53">
        <f t="shared" si="60"/>
        <v>0</v>
      </c>
      <c r="P188" s="776">
        <f t="shared" si="54"/>
        <v>0.25166286566447627</v>
      </c>
      <c r="Q188" s="519">
        <f t="shared" si="55"/>
        <v>11.324828954901429</v>
      </c>
      <c r="R188" s="53"/>
      <c r="S188" s="1211">
        <f t="shared" si="56"/>
        <v>0.67948973729408568</v>
      </c>
      <c r="T188" s="1198">
        <f t="shared" si="57"/>
        <v>0.76667570291364262</v>
      </c>
      <c r="U188" s="1199">
        <f t="shared" si="57"/>
        <v>34.500406631113911</v>
      </c>
      <c r="V188" s="1199">
        <f t="shared" si="57"/>
        <v>0</v>
      </c>
      <c r="W188" s="1200">
        <f t="shared" si="57"/>
        <v>2.0700243978668347</v>
      </c>
    </row>
    <row r="189" spans="1:23">
      <c r="A189" s="123">
        <f>'Input data'!A123</f>
        <v>2023</v>
      </c>
      <c r="B189" s="1208">
        <f>'Recycling - Case 2'!AI103</f>
        <v>6437.6604656145792</v>
      </c>
      <c r="C189" s="1209">
        <f>C188</f>
        <v>0.1</v>
      </c>
      <c r="D189" s="1209">
        <f t="shared" si="58"/>
        <v>0.9</v>
      </c>
      <c r="E189" s="53">
        <v>0</v>
      </c>
      <c r="F189" s="53">
        <v>0</v>
      </c>
      <c r="G189" s="776">
        <f t="shared" si="51"/>
        <v>0.51501283724916636</v>
      </c>
      <c r="H189" s="519">
        <f t="shared" si="52"/>
        <v>23.175577676212484</v>
      </c>
      <c r="I189" s="53"/>
      <c r="J189" s="776">
        <f t="shared" si="53"/>
        <v>1.3905346605727491</v>
      </c>
      <c r="K189" s="1210">
        <f>'Recycling - Case 3'!Z143</f>
        <v>3202.2796257327404</v>
      </c>
      <c r="L189" s="1209">
        <f>L188</f>
        <v>0.1</v>
      </c>
      <c r="M189" s="1209">
        <f t="shared" si="59"/>
        <v>0.9</v>
      </c>
      <c r="N189" s="53">
        <f t="shared" si="60"/>
        <v>0</v>
      </c>
      <c r="O189" s="53">
        <f t="shared" si="60"/>
        <v>0</v>
      </c>
      <c r="P189" s="776">
        <f t="shared" si="54"/>
        <v>0.25618237005861932</v>
      </c>
      <c r="Q189" s="519">
        <f t="shared" si="55"/>
        <v>11.528206652637866</v>
      </c>
      <c r="R189" s="53"/>
      <c r="S189" s="1211">
        <f t="shared" si="56"/>
        <v>0.69169239915827185</v>
      </c>
      <c r="T189" s="1198">
        <f t="shared" si="57"/>
        <v>0.77119520730778568</v>
      </c>
      <c r="U189" s="1199">
        <f t="shared" si="57"/>
        <v>34.703784328850347</v>
      </c>
      <c r="V189" s="1199">
        <f t="shared" si="57"/>
        <v>0</v>
      </c>
      <c r="W189" s="1200">
        <f t="shared" si="57"/>
        <v>2.0822270597310211</v>
      </c>
    </row>
    <row r="190" spans="1:23">
      <c r="A190" s="123">
        <f>'Input data'!A124</f>
        <v>2024</v>
      </c>
      <c r="B190" s="1208">
        <f>'Recycling - Case 2'!AI104</f>
        <v>6437.6604656145792</v>
      </c>
      <c r="C190" s="1209">
        <f t="shared" ref="C190:C216" si="63">C189</f>
        <v>0.1</v>
      </c>
      <c r="D190" s="1209">
        <f t="shared" si="58"/>
        <v>0.9</v>
      </c>
      <c r="E190" s="53">
        <v>0</v>
      </c>
      <c r="F190" s="53">
        <v>0</v>
      </c>
      <c r="G190" s="776">
        <f t="shared" si="51"/>
        <v>0.51501283724916636</v>
      </c>
      <c r="H190" s="519">
        <f t="shared" si="52"/>
        <v>23.175577676212484</v>
      </c>
      <c r="I190" s="53"/>
      <c r="J190" s="776">
        <f t="shared" si="53"/>
        <v>1.3905346605727491</v>
      </c>
      <c r="K190" s="1210">
        <f>'Recycling - Case 3'!Z144</f>
        <v>3266.3298406827407</v>
      </c>
      <c r="L190" s="1209">
        <f t="shared" ref="L190:L216" si="64">L189</f>
        <v>0.1</v>
      </c>
      <c r="M190" s="1209">
        <f t="shared" si="59"/>
        <v>0.9</v>
      </c>
      <c r="N190" s="53">
        <f t="shared" si="60"/>
        <v>0</v>
      </c>
      <c r="O190" s="53">
        <f t="shared" si="60"/>
        <v>0</v>
      </c>
      <c r="P190" s="776">
        <f t="shared" si="54"/>
        <v>0.2613063872546193</v>
      </c>
      <c r="Q190" s="519">
        <f t="shared" si="55"/>
        <v>11.758787426457868</v>
      </c>
      <c r="R190" s="53"/>
      <c r="S190" s="1211">
        <f t="shared" si="56"/>
        <v>0.70552724558747193</v>
      </c>
      <c r="T190" s="1198">
        <f t="shared" si="57"/>
        <v>0.77631922450378565</v>
      </c>
      <c r="U190" s="1199">
        <f t="shared" si="57"/>
        <v>34.934365102670355</v>
      </c>
      <c r="V190" s="1199">
        <f t="shared" si="57"/>
        <v>0</v>
      </c>
      <c r="W190" s="1200">
        <f t="shared" si="57"/>
        <v>2.0960619061602213</v>
      </c>
    </row>
    <row r="191" spans="1:23">
      <c r="A191" s="123">
        <f>'Input data'!A125</f>
        <v>2025</v>
      </c>
      <c r="B191" s="1208">
        <f>'Recycling - Case 2'!AI105</f>
        <v>6437.6604656145792</v>
      </c>
      <c r="C191" s="1209">
        <f t="shared" si="63"/>
        <v>0.1</v>
      </c>
      <c r="D191" s="1209">
        <f t="shared" si="58"/>
        <v>0.9</v>
      </c>
      <c r="E191" s="53">
        <v>0</v>
      </c>
      <c r="F191" s="53">
        <v>0</v>
      </c>
      <c r="G191" s="776">
        <f t="shared" si="51"/>
        <v>0.51501283724916636</v>
      </c>
      <c r="H191" s="519">
        <f t="shared" si="52"/>
        <v>23.175577676212484</v>
      </c>
      <c r="I191" s="53"/>
      <c r="J191" s="776">
        <f t="shared" si="53"/>
        <v>1.3905346605727491</v>
      </c>
      <c r="K191" s="1210">
        <f>'Recycling - Case 3'!Z145</f>
        <v>3327.4801729303604</v>
      </c>
      <c r="L191" s="1209">
        <f t="shared" si="64"/>
        <v>0.1</v>
      </c>
      <c r="M191" s="1209">
        <f t="shared" si="59"/>
        <v>0.9</v>
      </c>
      <c r="N191" s="53">
        <f t="shared" si="60"/>
        <v>0</v>
      </c>
      <c r="O191" s="53">
        <f t="shared" si="60"/>
        <v>0</v>
      </c>
      <c r="P191" s="776">
        <f t="shared" si="54"/>
        <v>0.26619841383442888</v>
      </c>
      <c r="Q191" s="519">
        <f t="shared" si="55"/>
        <v>11.978928622549297</v>
      </c>
      <c r="R191" s="53"/>
      <c r="S191" s="1211">
        <f t="shared" si="56"/>
        <v>0.71873571735295783</v>
      </c>
      <c r="T191" s="1198">
        <f t="shared" si="57"/>
        <v>0.78121125108359524</v>
      </c>
      <c r="U191" s="1199">
        <f t="shared" si="57"/>
        <v>35.154506298761781</v>
      </c>
      <c r="V191" s="1199">
        <f t="shared" si="57"/>
        <v>0</v>
      </c>
      <c r="W191" s="1200">
        <f t="shared" si="57"/>
        <v>2.1092703779257072</v>
      </c>
    </row>
    <row r="192" spans="1:23">
      <c r="A192" s="123">
        <f>'Input data'!A126</f>
        <v>2026</v>
      </c>
      <c r="B192" s="1208">
        <f>'Recycling - Case 2'!AI106</f>
        <v>6437.6604656145792</v>
      </c>
      <c r="C192" s="1209">
        <f t="shared" si="63"/>
        <v>0.1</v>
      </c>
      <c r="D192" s="1209">
        <f t="shared" si="58"/>
        <v>0.9</v>
      </c>
      <c r="E192" s="53">
        <v>0</v>
      </c>
      <c r="F192" s="53">
        <v>0</v>
      </c>
      <c r="G192" s="776">
        <f t="shared" si="51"/>
        <v>0.51501283724916636</v>
      </c>
      <c r="H192" s="519">
        <f t="shared" si="52"/>
        <v>23.175577676212484</v>
      </c>
      <c r="I192" s="53"/>
      <c r="J192" s="776">
        <f t="shared" si="53"/>
        <v>1.3905346605727491</v>
      </c>
      <c r="K192" s="1210">
        <f>'Recycling - Case 3'!Z146</f>
        <v>3382.7896165508691</v>
      </c>
      <c r="L192" s="1209">
        <f t="shared" si="64"/>
        <v>0.1</v>
      </c>
      <c r="M192" s="1209">
        <f t="shared" si="59"/>
        <v>0.9</v>
      </c>
      <c r="N192" s="53">
        <f t="shared" si="60"/>
        <v>0</v>
      </c>
      <c r="O192" s="53">
        <f t="shared" si="60"/>
        <v>0</v>
      </c>
      <c r="P192" s="776">
        <f t="shared" si="54"/>
        <v>0.2706231693240696</v>
      </c>
      <c r="Q192" s="519">
        <f t="shared" si="55"/>
        <v>12.178042619583129</v>
      </c>
      <c r="R192" s="53"/>
      <c r="S192" s="1211">
        <f t="shared" si="56"/>
        <v>0.73068255717498776</v>
      </c>
      <c r="T192" s="1198">
        <f t="shared" si="57"/>
        <v>0.78563600657323596</v>
      </c>
      <c r="U192" s="1199">
        <f t="shared" si="57"/>
        <v>35.353620295795615</v>
      </c>
      <c r="V192" s="1199">
        <f t="shared" si="57"/>
        <v>0</v>
      </c>
      <c r="W192" s="1200">
        <f t="shared" si="57"/>
        <v>2.1212172177477369</v>
      </c>
    </row>
    <row r="193" spans="1:23">
      <c r="A193" s="123">
        <f>'Input data'!A127</f>
        <v>2027</v>
      </c>
      <c r="B193" s="1208">
        <f>'Recycling - Case 2'!AI107</f>
        <v>6437.6604656145792</v>
      </c>
      <c r="C193" s="1209">
        <f t="shared" si="63"/>
        <v>0.1</v>
      </c>
      <c r="D193" s="1209">
        <f t="shared" si="58"/>
        <v>0.9</v>
      </c>
      <c r="E193" s="53">
        <v>0</v>
      </c>
      <c r="F193" s="53">
        <v>0</v>
      </c>
      <c r="G193" s="776">
        <f t="shared" si="51"/>
        <v>0.51501283724916636</v>
      </c>
      <c r="H193" s="519">
        <f t="shared" si="52"/>
        <v>23.175577676212484</v>
      </c>
      <c r="I193" s="53"/>
      <c r="J193" s="776">
        <f t="shared" si="53"/>
        <v>1.3905346605727491</v>
      </c>
      <c r="K193" s="1210">
        <f>'Recycling - Case 3'!Z147</f>
        <v>3436.3360700456424</v>
      </c>
      <c r="L193" s="1209">
        <f t="shared" si="64"/>
        <v>0.1</v>
      </c>
      <c r="M193" s="1209">
        <f t="shared" si="59"/>
        <v>0.9</v>
      </c>
      <c r="N193" s="53">
        <f t="shared" si="60"/>
        <v>0</v>
      </c>
      <c r="O193" s="53">
        <f t="shared" si="60"/>
        <v>0</v>
      </c>
      <c r="P193" s="776">
        <f t="shared" si="54"/>
        <v>0.27490688560365145</v>
      </c>
      <c r="Q193" s="519">
        <f t="shared" si="55"/>
        <v>12.370809852164314</v>
      </c>
      <c r="R193" s="53"/>
      <c r="S193" s="1211">
        <f t="shared" si="56"/>
        <v>0.74224859112985875</v>
      </c>
      <c r="T193" s="1198">
        <f t="shared" si="57"/>
        <v>0.78991972285281786</v>
      </c>
      <c r="U193" s="1199">
        <f t="shared" si="57"/>
        <v>35.546387528376798</v>
      </c>
      <c r="V193" s="1199">
        <f t="shared" si="57"/>
        <v>0</v>
      </c>
      <c r="W193" s="1200">
        <f t="shared" si="57"/>
        <v>2.132783251702608</v>
      </c>
    </row>
    <row r="194" spans="1:23">
      <c r="A194" s="123">
        <f>'Input data'!A128</f>
        <v>2028</v>
      </c>
      <c r="B194" s="1208">
        <f>'Recycling - Case 2'!AI108</f>
        <v>6437.6604656145792</v>
      </c>
      <c r="C194" s="1209">
        <f t="shared" si="63"/>
        <v>0.1</v>
      </c>
      <c r="D194" s="1209">
        <f t="shared" si="58"/>
        <v>0.9</v>
      </c>
      <c r="E194" s="53">
        <v>0</v>
      </c>
      <c r="F194" s="53">
        <v>0</v>
      </c>
      <c r="G194" s="776">
        <f t="shared" si="51"/>
        <v>0.51501283724916636</v>
      </c>
      <c r="H194" s="519">
        <f t="shared" si="52"/>
        <v>23.175577676212484</v>
      </c>
      <c r="I194" s="53"/>
      <c r="J194" s="776">
        <f t="shared" si="53"/>
        <v>1.3905346605727491</v>
      </c>
      <c r="K194" s="1210">
        <f>'Recycling - Case 3'!Z148</f>
        <v>3487.0950456185724</v>
      </c>
      <c r="L194" s="1209">
        <f t="shared" si="64"/>
        <v>0.1</v>
      </c>
      <c r="M194" s="1209">
        <f t="shared" si="59"/>
        <v>0.9</v>
      </c>
      <c r="N194" s="53">
        <f t="shared" si="60"/>
        <v>0</v>
      </c>
      <c r="O194" s="53">
        <f t="shared" si="60"/>
        <v>0</v>
      </c>
      <c r="P194" s="776">
        <f t="shared" si="54"/>
        <v>0.27896760364948586</v>
      </c>
      <c r="Q194" s="519">
        <f t="shared" si="55"/>
        <v>12.553542164226862</v>
      </c>
      <c r="R194" s="53"/>
      <c r="S194" s="1211">
        <f t="shared" si="56"/>
        <v>0.75321252985361165</v>
      </c>
      <c r="T194" s="1198">
        <f t="shared" si="57"/>
        <v>0.79398044089865216</v>
      </c>
      <c r="U194" s="1199">
        <f t="shared" si="57"/>
        <v>35.729119840439346</v>
      </c>
      <c r="V194" s="1199">
        <f t="shared" si="57"/>
        <v>0</v>
      </c>
      <c r="W194" s="1200">
        <f t="shared" si="57"/>
        <v>2.1437471904263607</v>
      </c>
    </row>
    <row r="195" spans="1:23">
      <c r="A195" s="123">
        <f>'Input data'!A129</f>
        <v>2029</v>
      </c>
      <c r="B195" s="1208">
        <f>'Recycling - Case 2'!AI109</f>
        <v>6437.6604656145792</v>
      </c>
      <c r="C195" s="1209">
        <f t="shared" si="63"/>
        <v>0.1</v>
      </c>
      <c r="D195" s="1209">
        <f t="shared" si="58"/>
        <v>0.9</v>
      </c>
      <c r="E195" s="53">
        <v>0</v>
      </c>
      <c r="F195" s="53">
        <v>0</v>
      </c>
      <c r="G195" s="776">
        <f t="shared" si="51"/>
        <v>0.51501283724916636</v>
      </c>
      <c r="H195" s="519">
        <f t="shared" si="52"/>
        <v>23.175577676212484</v>
      </c>
      <c r="I195" s="53"/>
      <c r="J195" s="776">
        <f t="shared" si="53"/>
        <v>1.3905346605727491</v>
      </c>
      <c r="K195" s="1210">
        <f>'Recycling - Case 3'!Z149</f>
        <v>3550.2801907226872</v>
      </c>
      <c r="L195" s="1209">
        <f t="shared" si="64"/>
        <v>0.1</v>
      </c>
      <c r="M195" s="1209">
        <f t="shared" si="59"/>
        <v>0.9</v>
      </c>
      <c r="N195" s="53">
        <f t="shared" si="60"/>
        <v>0</v>
      </c>
      <c r="O195" s="53">
        <f t="shared" si="60"/>
        <v>0</v>
      </c>
      <c r="P195" s="776">
        <f t="shared" si="54"/>
        <v>0.28402241525781508</v>
      </c>
      <c r="Q195" s="519">
        <f t="shared" si="55"/>
        <v>12.781008686601673</v>
      </c>
      <c r="R195" s="53"/>
      <c r="S195" s="1211">
        <f t="shared" si="56"/>
        <v>0.76686052119610038</v>
      </c>
      <c r="T195" s="1198">
        <f t="shared" si="57"/>
        <v>0.79903525250698149</v>
      </c>
      <c r="U195" s="1199">
        <f t="shared" si="57"/>
        <v>35.956586362814157</v>
      </c>
      <c r="V195" s="1199">
        <f t="shared" si="57"/>
        <v>0</v>
      </c>
      <c r="W195" s="1200">
        <f t="shared" si="57"/>
        <v>2.1573951817688495</v>
      </c>
    </row>
    <row r="196" spans="1:23">
      <c r="A196" s="123">
        <f>'Input data'!A130</f>
        <v>2030</v>
      </c>
      <c r="B196" s="1208">
        <f>'Recycling - Case 2'!AI110</f>
        <v>6437.6604656145792</v>
      </c>
      <c r="C196" s="1209">
        <f t="shared" si="63"/>
        <v>0.1</v>
      </c>
      <c r="D196" s="1209">
        <f t="shared" si="58"/>
        <v>0.9</v>
      </c>
      <c r="E196" s="53">
        <v>0</v>
      </c>
      <c r="F196" s="53">
        <v>0</v>
      </c>
      <c r="G196" s="776">
        <f t="shared" si="51"/>
        <v>0.51501283724916636</v>
      </c>
      <c r="H196" s="519">
        <f t="shared" si="52"/>
        <v>23.175577676212484</v>
      </c>
      <c r="I196" s="53"/>
      <c r="J196" s="776">
        <f t="shared" si="53"/>
        <v>1.3905346605727491</v>
      </c>
      <c r="K196" s="1210">
        <f>'Recycling - Case 3'!Z150</f>
        <v>3612.8440237006225</v>
      </c>
      <c r="L196" s="1209">
        <f t="shared" si="64"/>
        <v>0.1</v>
      </c>
      <c r="M196" s="1209">
        <f t="shared" si="59"/>
        <v>0.9</v>
      </c>
      <c r="N196" s="53">
        <f t="shared" si="60"/>
        <v>0</v>
      </c>
      <c r="O196" s="53">
        <f t="shared" si="60"/>
        <v>0</v>
      </c>
      <c r="P196" s="776">
        <f t="shared" si="54"/>
        <v>0.28902752189604985</v>
      </c>
      <c r="Q196" s="519">
        <f t="shared" si="55"/>
        <v>13.006238485322241</v>
      </c>
      <c r="R196" s="53"/>
      <c r="S196" s="1211">
        <f t="shared" si="56"/>
        <v>0.78037430911933447</v>
      </c>
      <c r="T196" s="1198">
        <f t="shared" si="57"/>
        <v>0.80404035914521621</v>
      </c>
      <c r="U196" s="1199">
        <f t="shared" si="57"/>
        <v>36.181816161534726</v>
      </c>
      <c r="V196" s="1199">
        <f t="shared" si="57"/>
        <v>0</v>
      </c>
      <c r="W196" s="1200">
        <f t="shared" si="57"/>
        <v>2.1709089696920838</v>
      </c>
    </row>
    <row r="197" spans="1:23">
      <c r="A197" s="123">
        <f>'Input data'!A131</f>
        <v>2031</v>
      </c>
      <c r="B197" s="1208">
        <f>'Recycling - Case 2'!AI111</f>
        <v>6437.6604656145792</v>
      </c>
      <c r="C197" s="1209">
        <f t="shared" si="63"/>
        <v>0.1</v>
      </c>
      <c r="D197" s="1209">
        <f t="shared" si="58"/>
        <v>0.9</v>
      </c>
      <c r="E197" s="53">
        <v>0</v>
      </c>
      <c r="F197" s="53">
        <v>0</v>
      </c>
      <c r="G197" s="776">
        <f t="shared" si="51"/>
        <v>0.51501283724916636</v>
      </c>
      <c r="H197" s="519">
        <f t="shared" si="52"/>
        <v>23.175577676212484</v>
      </c>
      <c r="I197" s="53"/>
      <c r="J197" s="776">
        <f t="shared" si="53"/>
        <v>1.3905346605727491</v>
      </c>
      <c r="K197" s="1210">
        <f>'Recycling - Case 3'!Z151</f>
        <v>3681.1215820084799</v>
      </c>
      <c r="L197" s="1209">
        <f t="shared" si="64"/>
        <v>0.1</v>
      </c>
      <c r="M197" s="1209">
        <f t="shared" si="59"/>
        <v>0.9</v>
      </c>
      <c r="N197" s="53">
        <f t="shared" si="60"/>
        <v>0</v>
      </c>
      <c r="O197" s="53">
        <f t="shared" si="60"/>
        <v>0</v>
      </c>
      <c r="P197" s="776">
        <f t="shared" si="54"/>
        <v>0.29448972656067846</v>
      </c>
      <c r="Q197" s="519">
        <f t="shared" si="55"/>
        <v>13.252037695230529</v>
      </c>
      <c r="R197" s="53"/>
      <c r="S197" s="1211">
        <f t="shared" si="56"/>
        <v>0.79512226171383171</v>
      </c>
      <c r="T197" s="1198">
        <f t="shared" si="57"/>
        <v>0.80950256380984476</v>
      </c>
      <c r="U197" s="1199">
        <f t="shared" si="57"/>
        <v>36.427615371443011</v>
      </c>
      <c r="V197" s="1199">
        <f t="shared" si="57"/>
        <v>0</v>
      </c>
      <c r="W197" s="1200">
        <f t="shared" si="57"/>
        <v>2.1856569222865807</v>
      </c>
    </row>
    <row r="198" spans="1:23">
      <c r="A198" s="123">
        <f>'Input data'!A132</f>
        <v>2032</v>
      </c>
      <c r="B198" s="1208">
        <f>'Recycling - Case 2'!AI112</f>
        <v>6437.6604656145792</v>
      </c>
      <c r="C198" s="1209">
        <f t="shared" si="63"/>
        <v>0.1</v>
      </c>
      <c r="D198" s="1209">
        <f t="shared" si="58"/>
        <v>0.9</v>
      </c>
      <c r="E198" s="53">
        <v>0</v>
      </c>
      <c r="F198" s="53">
        <v>0</v>
      </c>
      <c r="G198" s="776">
        <f t="shared" si="51"/>
        <v>0.51501283724916636</v>
      </c>
      <c r="H198" s="519">
        <f t="shared" si="52"/>
        <v>23.175577676212484</v>
      </c>
      <c r="I198" s="53"/>
      <c r="J198" s="776">
        <f t="shared" si="53"/>
        <v>1.3905346605727491</v>
      </c>
      <c r="K198" s="1210">
        <f>'Recycling - Case 3'!Z152</f>
        <v>3761.3857443265993</v>
      </c>
      <c r="L198" s="1209">
        <f t="shared" si="64"/>
        <v>0.1</v>
      </c>
      <c r="M198" s="1209">
        <f t="shared" si="59"/>
        <v>0.9</v>
      </c>
      <c r="N198" s="53">
        <f t="shared" si="60"/>
        <v>0</v>
      </c>
      <c r="O198" s="53">
        <f t="shared" si="60"/>
        <v>0</v>
      </c>
      <c r="P198" s="776">
        <f t="shared" si="54"/>
        <v>0.30091085954612801</v>
      </c>
      <c r="Q198" s="519">
        <f t="shared" si="55"/>
        <v>13.540988679575758</v>
      </c>
      <c r="R198" s="53"/>
      <c r="S198" s="1211">
        <f t="shared" si="56"/>
        <v>0.81245932077454541</v>
      </c>
      <c r="T198" s="1198">
        <f t="shared" si="57"/>
        <v>0.81592369679529431</v>
      </c>
      <c r="U198" s="1199">
        <f t="shared" si="57"/>
        <v>36.716566355788245</v>
      </c>
      <c r="V198" s="1199">
        <f t="shared" si="57"/>
        <v>0</v>
      </c>
      <c r="W198" s="1200">
        <f t="shared" si="57"/>
        <v>2.2029939813472943</v>
      </c>
    </row>
    <row r="199" spans="1:23">
      <c r="A199" s="123">
        <f>'Input data'!A133</f>
        <v>2033</v>
      </c>
      <c r="B199" s="1208">
        <f>'Recycling - Case 2'!AI113</f>
        <v>6437.6604656145792</v>
      </c>
      <c r="C199" s="1209">
        <f t="shared" si="63"/>
        <v>0.1</v>
      </c>
      <c r="D199" s="1209">
        <f t="shared" si="58"/>
        <v>0.9</v>
      </c>
      <c r="E199" s="53">
        <v>0</v>
      </c>
      <c r="F199" s="53">
        <v>0</v>
      </c>
      <c r="G199" s="776">
        <f t="shared" si="51"/>
        <v>0.51501283724916636</v>
      </c>
      <c r="H199" s="519">
        <f t="shared" si="52"/>
        <v>23.175577676212484</v>
      </c>
      <c r="I199" s="53"/>
      <c r="J199" s="776">
        <f t="shared" si="53"/>
        <v>1.3905346605727491</v>
      </c>
      <c r="K199" s="1210">
        <f>'Recycling - Case 3'!Z153</f>
        <v>3848.0219164089949</v>
      </c>
      <c r="L199" s="1209">
        <f t="shared" si="64"/>
        <v>0.1</v>
      </c>
      <c r="M199" s="1209">
        <f t="shared" si="59"/>
        <v>0.9</v>
      </c>
      <c r="N199" s="53">
        <f t="shared" si="60"/>
        <v>0</v>
      </c>
      <c r="O199" s="53">
        <f t="shared" si="60"/>
        <v>0</v>
      </c>
      <c r="P199" s="776">
        <f t="shared" si="54"/>
        <v>0.30784175331271968</v>
      </c>
      <c r="Q199" s="519">
        <f t="shared" si="55"/>
        <v>13.852878899072383</v>
      </c>
      <c r="R199" s="53"/>
      <c r="S199" s="1211">
        <f t="shared" si="56"/>
        <v>0.83117273394434288</v>
      </c>
      <c r="T199" s="1198">
        <f t="shared" si="57"/>
        <v>0.82285459056188603</v>
      </c>
      <c r="U199" s="1199">
        <f t="shared" si="57"/>
        <v>37.028456575284864</v>
      </c>
      <c r="V199" s="1199">
        <f t="shared" si="57"/>
        <v>0</v>
      </c>
      <c r="W199" s="1200">
        <f t="shared" si="57"/>
        <v>2.2217073945170922</v>
      </c>
    </row>
    <row r="200" spans="1:23">
      <c r="A200" s="123">
        <f>'Input data'!A134</f>
        <v>2034</v>
      </c>
      <c r="B200" s="1208">
        <f>'Recycling - Case 2'!AI114</f>
        <v>6437.6604656145792</v>
      </c>
      <c r="C200" s="1209">
        <f t="shared" si="63"/>
        <v>0.1</v>
      </c>
      <c r="D200" s="1209">
        <f t="shared" si="58"/>
        <v>0.9</v>
      </c>
      <c r="E200" s="53">
        <v>0</v>
      </c>
      <c r="F200" s="53">
        <v>0</v>
      </c>
      <c r="G200" s="776">
        <f t="shared" si="51"/>
        <v>0.51501283724916636</v>
      </c>
      <c r="H200" s="519">
        <f t="shared" si="52"/>
        <v>23.175577676212484</v>
      </c>
      <c r="I200" s="53"/>
      <c r="J200" s="776">
        <f t="shared" si="53"/>
        <v>1.3905346605727491</v>
      </c>
      <c r="K200" s="1210">
        <f>'Recycling - Case 3'!Z154</f>
        <v>3949.1309735819841</v>
      </c>
      <c r="L200" s="1209">
        <f t="shared" si="64"/>
        <v>0.1</v>
      </c>
      <c r="M200" s="1209">
        <f t="shared" si="59"/>
        <v>0.9</v>
      </c>
      <c r="N200" s="53">
        <f t="shared" si="60"/>
        <v>0</v>
      </c>
      <c r="O200" s="53">
        <f t="shared" si="60"/>
        <v>0</v>
      </c>
      <c r="P200" s="776">
        <f t="shared" si="54"/>
        <v>0.31593047788655876</v>
      </c>
      <c r="Q200" s="519">
        <f t="shared" si="55"/>
        <v>14.216871504895144</v>
      </c>
      <c r="R200" s="53"/>
      <c r="S200" s="1211">
        <f t="shared" si="56"/>
        <v>0.85301229029370862</v>
      </c>
      <c r="T200" s="1198">
        <f t="shared" si="57"/>
        <v>0.83094331513572506</v>
      </c>
      <c r="U200" s="1199">
        <f t="shared" si="57"/>
        <v>37.392449181107629</v>
      </c>
      <c r="V200" s="1199">
        <f t="shared" si="57"/>
        <v>0</v>
      </c>
      <c r="W200" s="1200">
        <f t="shared" si="57"/>
        <v>2.2435469508664578</v>
      </c>
    </row>
    <row r="201" spans="1:23">
      <c r="A201" s="123">
        <f>'Input data'!A135</f>
        <v>2035</v>
      </c>
      <c r="B201" s="1208">
        <f>'Recycling - Case 2'!AI115</f>
        <v>6437.6604656145792</v>
      </c>
      <c r="C201" s="1209">
        <f t="shared" si="63"/>
        <v>0.1</v>
      </c>
      <c r="D201" s="1209">
        <f t="shared" si="58"/>
        <v>0.9</v>
      </c>
      <c r="E201" s="53">
        <v>0</v>
      </c>
      <c r="F201" s="53">
        <v>0</v>
      </c>
      <c r="G201" s="776">
        <f t="shared" si="51"/>
        <v>0.51501283724916636</v>
      </c>
      <c r="H201" s="519">
        <f t="shared" si="52"/>
        <v>23.175577676212484</v>
      </c>
      <c r="I201" s="53"/>
      <c r="J201" s="776">
        <f t="shared" si="53"/>
        <v>1.3905346605727491</v>
      </c>
      <c r="K201" s="1210">
        <f>'Recycling - Case 3'!Z155</f>
        <v>4030.6704350808041</v>
      </c>
      <c r="L201" s="1209">
        <f t="shared" si="64"/>
        <v>0.1</v>
      </c>
      <c r="M201" s="1209">
        <f t="shared" si="59"/>
        <v>0.9</v>
      </c>
      <c r="N201" s="53">
        <f t="shared" ref="N201:O216" si="65">N199</f>
        <v>0</v>
      </c>
      <c r="O201" s="53">
        <f t="shared" si="65"/>
        <v>0</v>
      </c>
      <c r="P201" s="776">
        <f t="shared" si="54"/>
        <v>0.32245363480646438</v>
      </c>
      <c r="Q201" s="519">
        <f t="shared" si="55"/>
        <v>14.510413566290895</v>
      </c>
      <c r="R201" s="53"/>
      <c r="S201" s="1211">
        <f t="shared" si="56"/>
        <v>0.87062481397745362</v>
      </c>
      <c r="T201" s="1198">
        <f t="shared" si="57"/>
        <v>0.83746647205563074</v>
      </c>
      <c r="U201" s="1199">
        <f t="shared" si="57"/>
        <v>37.685991242503377</v>
      </c>
      <c r="V201" s="1199">
        <f t="shared" si="57"/>
        <v>0</v>
      </c>
      <c r="W201" s="1200">
        <f t="shared" si="57"/>
        <v>2.2611594745502028</v>
      </c>
    </row>
    <row r="202" spans="1:23">
      <c r="A202" s="123">
        <f>'Input data'!A136</f>
        <v>2036</v>
      </c>
      <c r="B202" s="1208">
        <f>'Recycling - Case 2'!AI116</f>
        <v>6437.6604656145792</v>
      </c>
      <c r="C202" s="1209">
        <f t="shared" si="63"/>
        <v>0.1</v>
      </c>
      <c r="D202" s="1209">
        <f t="shared" si="58"/>
        <v>0.9</v>
      </c>
      <c r="E202" s="53">
        <v>0</v>
      </c>
      <c r="F202" s="53">
        <v>0</v>
      </c>
      <c r="G202" s="776">
        <f t="shared" si="51"/>
        <v>0.51501283724916636</v>
      </c>
      <c r="H202" s="519">
        <f t="shared" si="52"/>
        <v>23.175577676212484</v>
      </c>
      <c r="I202" s="53"/>
      <c r="J202" s="776">
        <f t="shared" si="53"/>
        <v>1.3905346605727491</v>
      </c>
      <c r="K202" s="1210">
        <f>'Recycling - Case 3'!Z156</f>
        <v>4109.6267789017866</v>
      </c>
      <c r="L202" s="1209">
        <f t="shared" si="64"/>
        <v>0.1</v>
      </c>
      <c r="M202" s="1209">
        <f t="shared" si="59"/>
        <v>0.9</v>
      </c>
      <c r="N202" s="53">
        <f t="shared" si="65"/>
        <v>0</v>
      </c>
      <c r="O202" s="53">
        <f t="shared" si="65"/>
        <v>0</v>
      </c>
      <c r="P202" s="776">
        <f t="shared" si="54"/>
        <v>0.32877014231214297</v>
      </c>
      <c r="Q202" s="519">
        <f t="shared" si="55"/>
        <v>14.794656404046433</v>
      </c>
      <c r="R202" s="53"/>
      <c r="S202" s="1211">
        <f t="shared" si="56"/>
        <v>0.88767938424278592</v>
      </c>
      <c r="T202" s="1198">
        <f t="shared" si="57"/>
        <v>0.84378297956130932</v>
      </c>
      <c r="U202" s="1199">
        <f t="shared" si="57"/>
        <v>37.970234080258919</v>
      </c>
      <c r="V202" s="1199">
        <f t="shared" si="57"/>
        <v>0</v>
      </c>
      <c r="W202" s="1200">
        <f t="shared" si="57"/>
        <v>2.278214044815535</v>
      </c>
    </row>
    <row r="203" spans="1:23">
      <c r="A203" s="123">
        <f>'Input data'!A137</f>
        <v>2037</v>
      </c>
      <c r="B203" s="1208">
        <f>'Recycling - Case 2'!AI117</f>
        <v>6437.6604656145792</v>
      </c>
      <c r="C203" s="1209">
        <f t="shared" si="63"/>
        <v>0.1</v>
      </c>
      <c r="D203" s="1209">
        <f t="shared" si="58"/>
        <v>0.9</v>
      </c>
      <c r="E203" s="53">
        <v>0</v>
      </c>
      <c r="F203" s="53">
        <v>0</v>
      </c>
      <c r="G203" s="776">
        <f t="shared" si="51"/>
        <v>0.51501283724916636</v>
      </c>
      <c r="H203" s="519">
        <f t="shared" si="52"/>
        <v>23.175577676212484</v>
      </c>
      <c r="I203" s="53"/>
      <c r="J203" s="776">
        <f t="shared" si="53"/>
        <v>1.3905346605727491</v>
      </c>
      <c r="K203" s="1210">
        <f>'Recycling - Case 3'!Z157</f>
        <v>4197.8517712529874</v>
      </c>
      <c r="L203" s="1209">
        <f t="shared" si="64"/>
        <v>0.1</v>
      </c>
      <c r="M203" s="1209">
        <f t="shared" si="59"/>
        <v>0.9</v>
      </c>
      <c r="N203" s="53">
        <f t="shared" si="65"/>
        <v>0</v>
      </c>
      <c r="O203" s="53">
        <f t="shared" si="65"/>
        <v>0</v>
      </c>
      <c r="P203" s="776">
        <f t="shared" si="54"/>
        <v>0.33582814170023911</v>
      </c>
      <c r="Q203" s="519">
        <f t="shared" si="55"/>
        <v>15.112266376510755</v>
      </c>
      <c r="R203" s="53"/>
      <c r="S203" s="1211">
        <f t="shared" si="56"/>
        <v>0.90673598259064525</v>
      </c>
      <c r="T203" s="1198">
        <f t="shared" si="57"/>
        <v>0.85084097894940547</v>
      </c>
      <c r="U203" s="1199">
        <f t="shared" si="57"/>
        <v>38.287844052723237</v>
      </c>
      <c r="V203" s="1199">
        <f t="shared" si="57"/>
        <v>0</v>
      </c>
      <c r="W203" s="1200">
        <f t="shared" si="57"/>
        <v>2.2972706431633942</v>
      </c>
    </row>
    <row r="204" spans="1:23">
      <c r="A204" s="123">
        <f>'Input data'!A138</f>
        <v>2038</v>
      </c>
      <c r="B204" s="1208">
        <f>'Recycling - Case 2'!AI118</f>
        <v>6437.6604656145792</v>
      </c>
      <c r="C204" s="1209">
        <f t="shared" si="63"/>
        <v>0.1</v>
      </c>
      <c r="D204" s="1209">
        <f t="shared" si="58"/>
        <v>0.9</v>
      </c>
      <c r="E204" s="53">
        <v>0</v>
      </c>
      <c r="F204" s="53">
        <v>0</v>
      </c>
      <c r="G204" s="776">
        <f t="shared" si="51"/>
        <v>0.51501283724916636</v>
      </c>
      <c r="H204" s="519">
        <f t="shared" si="52"/>
        <v>23.175577676212484</v>
      </c>
      <c r="I204" s="53"/>
      <c r="J204" s="776">
        <f t="shared" si="53"/>
        <v>1.3905346605727491</v>
      </c>
      <c r="K204" s="1210">
        <f>'Recycling - Case 3'!Z158</f>
        <v>4285.4228841512158</v>
      </c>
      <c r="L204" s="1209">
        <f t="shared" si="64"/>
        <v>0.1</v>
      </c>
      <c r="M204" s="1209">
        <f t="shared" si="59"/>
        <v>0.9</v>
      </c>
      <c r="N204" s="53">
        <f t="shared" si="65"/>
        <v>0</v>
      </c>
      <c r="O204" s="53">
        <f t="shared" si="65"/>
        <v>0</v>
      </c>
      <c r="P204" s="776">
        <f t="shared" si="54"/>
        <v>0.34283383073209733</v>
      </c>
      <c r="Q204" s="519">
        <f t="shared" si="55"/>
        <v>15.427522382944376</v>
      </c>
      <c r="R204" s="53"/>
      <c r="S204" s="1211">
        <f t="shared" si="56"/>
        <v>0.92565134297666263</v>
      </c>
      <c r="T204" s="1198">
        <f t="shared" si="57"/>
        <v>0.85784666798126374</v>
      </c>
      <c r="U204" s="1199">
        <f t="shared" si="57"/>
        <v>38.603100059156858</v>
      </c>
      <c r="V204" s="1199">
        <f t="shared" si="57"/>
        <v>0</v>
      </c>
      <c r="W204" s="1200">
        <f t="shared" si="57"/>
        <v>2.3161860035494115</v>
      </c>
    </row>
    <row r="205" spans="1:23">
      <c r="A205" s="123">
        <f>'Input data'!A139</f>
        <v>2039</v>
      </c>
      <c r="B205" s="1208">
        <f>'Recycling - Case 2'!AI119</f>
        <v>6437.6604656145792</v>
      </c>
      <c r="C205" s="1209">
        <f t="shared" si="63"/>
        <v>0.1</v>
      </c>
      <c r="D205" s="1209">
        <f t="shared" si="58"/>
        <v>0.9</v>
      </c>
      <c r="E205" s="53">
        <v>0</v>
      </c>
      <c r="F205" s="53">
        <v>0</v>
      </c>
      <c r="G205" s="776">
        <f t="shared" si="51"/>
        <v>0.51501283724916636</v>
      </c>
      <c r="H205" s="519">
        <f t="shared" si="52"/>
        <v>23.175577676212484</v>
      </c>
      <c r="I205" s="53"/>
      <c r="J205" s="776">
        <f t="shared" si="53"/>
        <v>1.3905346605727491</v>
      </c>
      <c r="K205" s="1210">
        <f>'Recycling - Case 3'!Z159</f>
        <v>4377.5291467721845</v>
      </c>
      <c r="L205" s="1209">
        <f t="shared" si="64"/>
        <v>0.1</v>
      </c>
      <c r="M205" s="1209">
        <f t="shared" si="59"/>
        <v>0.9</v>
      </c>
      <c r="N205" s="53">
        <f t="shared" si="65"/>
        <v>0</v>
      </c>
      <c r="O205" s="53">
        <f t="shared" si="65"/>
        <v>0</v>
      </c>
      <c r="P205" s="776">
        <f t="shared" si="54"/>
        <v>0.35020233174177484</v>
      </c>
      <c r="Q205" s="519">
        <f t="shared" si="55"/>
        <v>15.759104928379864</v>
      </c>
      <c r="R205" s="53"/>
      <c r="S205" s="1211">
        <f t="shared" si="56"/>
        <v>0.94554629570279192</v>
      </c>
      <c r="T205" s="1198">
        <f t="shared" si="57"/>
        <v>0.8652151689909412</v>
      </c>
      <c r="U205" s="1199">
        <f t="shared" si="57"/>
        <v>38.934682604592346</v>
      </c>
      <c r="V205" s="1199">
        <f t="shared" si="57"/>
        <v>0</v>
      </c>
      <c r="W205" s="1200">
        <f t="shared" si="57"/>
        <v>2.3360809562755409</v>
      </c>
    </row>
    <row r="206" spans="1:23">
      <c r="A206" s="123">
        <f>'Input data'!A140</f>
        <v>2040</v>
      </c>
      <c r="B206" s="1208">
        <f>'Recycling - Case 2'!AI120</f>
        <v>6437.6604656145792</v>
      </c>
      <c r="C206" s="1209">
        <f t="shared" si="63"/>
        <v>0.1</v>
      </c>
      <c r="D206" s="1209">
        <f t="shared" si="58"/>
        <v>0.9</v>
      </c>
      <c r="E206" s="53">
        <v>0</v>
      </c>
      <c r="F206" s="53">
        <v>0</v>
      </c>
      <c r="G206" s="776">
        <f t="shared" si="51"/>
        <v>0.51501283724916636</v>
      </c>
      <c r="H206" s="519">
        <f t="shared" si="52"/>
        <v>23.175577676212484</v>
      </c>
      <c r="I206" s="53"/>
      <c r="J206" s="776">
        <f t="shared" si="53"/>
        <v>1.3905346605727491</v>
      </c>
      <c r="K206" s="1210">
        <f>'Recycling - Case 3'!Z160</f>
        <v>4470.8013872684305</v>
      </c>
      <c r="L206" s="1209">
        <f t="shared" si="64"/>
        <v>0.1</v>
      </c>
      <c r="M206" s="1209">
        <f t="shared" si="59"/>
        <v>0.9</v>
      </c>
      <c r="N206" s="53">
        <f t="shared" si="65"/>
        <v>0</v>
      </c>
      <c r="O206" s="53">
        <f t="shared" si="65"/>
        <v>0</v>
      </c>
      <c r="P206" s="776">
        <f t="shared" si="54"/>
        <v>0.35766411098147449</v>
      </c>
      <c r="Q206" s="519">
        <f t="shared" si="55"/>
        <v>16.09488499416635</v>
      </c>
      <c r="R206" s="53"/>
      <c r="S206" s="1211">
        <f t="shared" si="56"/>
        <v>0.96569309964998107</v>
      </c>
      <c r="T206" s="1198">
        <f t="shared" si="57"/>
        <v>0.8726769482306409</v>
      </c>
      <c r="U206" s="1199">
        <f t="shared" si="57"/>
        <v>39.270462670378834</v>
      </c>
      <c r="V206" s="1199">
        <f t="shared" si="57"/>
        <v>0</v>
      </c>
      <c r="W206" s="1200">
        <f t="shared" si="57"/>
        <v>2.3562277602227302</v>
      </c>
    </row>
    <row r="207" spans="1:23">
      <c r="A207" s="123">
        <f>'Input data'!A141</f>
        <v>2041</v>
      </c>
      <c r="B207" s="1208">
        <f>'Recycling - Case 2'!AI121</f>
        <v>6437.6604656145792</v>
      </c>
      <c r="C207" s="1209">
        <f t="shared" si="63"/>
        <v>0.1</v>
      </c>
      <c r="D207" s="1209">
        <f t="shared" si="58"/>
        <v>0.9</v>
      </c>
      <c r="E207" s="53">
        <v>0</v>
      </c>
      <c r="F207" s="53">
        <v>0</v>
      </c>
      <c r="G207" s="776">
        <f t="shared" si="51"/>
        <v>0.51501283724916636</v>
      </c>
      <c r="H207" s="519">
        <f t="shared" si="52"/>
        <v>23.175577676212484</v>
      </c>
      <c r="I207" s="53"/>
      <c r="J207" s="776">
        <f t="shared" si="53"/>
        <v>1.3905346605727491</v>
      </c>
      <c r="K207" s="1210">
        <f>'Recycling - Case 3'!Z161</f>
        <v>4573.4101876873783</v>
      </c>
      <c r="L207" s="1209">
        <f t="shared" si="64"/>
        <v>0.1</v>
      </c>
      <c r="M207" s="1209">
        <f t="shared" si="59"/>
        <v>0.9</v>
      </c>
      <c r="N207" s="53">
        <f t="shared" si="65"/>
        <v>0</v>
      </c>
      <c r="O207" s="53">
        <f t="shared" si="65"/>
        <v>0</v>
      </c>
      <c r="P207" s="776">
        <f t="shared" si="54"/>
        <v>0.36587281501499036</v>
      </c>
      <c r="Q207" s="519">
        <f t="shared" si="55"/>
        <v>16.464276675674562</v>
      </c>
      <c r="R207" s="53"/>
      <c r="S207" s="1211">
        <f t="shared" si="56"/>
        <v>0.98785660054047364</v>
      </c>
      <c r="T207" s="1198">
        <f t="shared" si="57"/>
        <v>0.88088565226415672</v>
      </c>
      <c r="U207" s="1199">
        <f t="shared" si="57"/>
        <v>39.639854351887045</v>
      </c>
      <c r="V207" s="1199">
        <f t="shared" si="57"/>
        <v>0</v>
      </c>
      <c r="W207" s="1200">
        <f t="shared" si="57"/>
        <v>2.3783912611132227</v>
      </c>
    </row>
    <row r="208" spans="1:23">
      <c r="A208" s="123">
        <f>'Input data'!A142</f>
        <v>2042</v>
      </c>
      <c r="B208" s="1208">
        <f>'Recycling - Case 2'!AI122</f>
        <v>6437.6604656145792</v>
      </c>
      <c r="C208" s="1209">
        <f t="shared" si="63"/>
        <v>0.1</v>
      </c>
      <c r="D208" s="1209">
        <f t="shared" si="58"/>
        <v>0.9</v>
      </c>
      <c r="E208" s="53">
        <v>0</v>
      </c>
      <c r="F208" s="53">
        <v>0</v>
      </c>
      <c r="G208" s="776">
        <f t="shared" si="51"/>
        <v>0.51501283724916636</v>
      </c>
      <c r="H208" s="519">
        <f t="shared" si="52"/>
        <v>23.175577676212484</v>
      </c>
      <c r="I208" s="53"/>
      <c r="J208" s="776">
        <f t="shared" si="53"/>
        <v>1.3905346605727491</v>
      </c>
      <c r="K208" s="1210">
        <f>'Recycling - Case 3'!Z162</f>
        <v>4673.052237396033</v>
      </c>
      <c r="L208" s="1209">
        <f t="shared" si="64"/>
        <v>0.1</v>
      </c>
      <c r="M208" s="1209">
        <f t="shared" si="59"/>
        <v>0.9</v>
      </c>
      <c r="N208" s="53">
        <f t="shared" si="65"/>
        <v>0</v>
      </c>
      <c r="O208" s="53">
        <f t="shared" si="65"/>
        <v>0</v>
      </c>
      <c r="P208" s="776">
        <f t="shared" si="54"/>
        <v>0.37384417899168271</v>
      </c>
      <c r="Q208" s="519">
        <f t="shared" si="55"/>
        <v>16.822988054625718</v>
      </c>
      <c r="R208" s="53"/>
      <c r="S208" s="1211">
        <f t="shared" si="56"/>
        <v>1.009379283277543</v>
      </c>
      <c r="T208" s="1198">
        <f t="shared" si="57"/>
        <v>0.88885701624084912</v>
      </c>
      <c r="U208" s="1199">
        <f t="shared" si="57"/>
        <v>39.998565730838202</v>
      </c>
      <c r="V208" s="1199">
        <f t="shared" si="57"/>
        <v>0</v>
      </c>
      <c r="W208" s="1200">
        <f t="shared" si="57"/>
        <v>2.3999139438502919</v>
      </c>
    </row>
    <row r="209" spans="1:23">
      <c r="A209" s="123">
        <f>'Input data'!A143</f>
        <v>2043</v>
      </c>
      <c r="B209" s="1208">
        <f>'Recycling - Case 2'!AI123</f>
        <v>6437.6604656145792</v>
      </c>
      <c r="C209" s="1209">
        <f t="shared" si="63"/>
        <v>0.1</v>
      </c>
      <c r="D209" s="1209">
        <f t="shared" si="58"/>
        <v>0.9</v>
      </c>
      <c r="E209" s="53">
        <v>0</v>
      </c>
      <c r="F209" s="53">
        <v>0</v>
      </c>
      <c r="G209" s="776">
        <f t="shared" si="51"/>
        <v>0.51501283724916636</v>
      </c>
      <c r="H209" s="519">
        <f t="shared" si="52"/>
        <v>23.175577676212484</v>
      </c>
      <c r="I209" s="53"/>
      <c r="J209" s="776">
        <f t="shared" si="53"/>
        <v>1.3905346605727491</v>
      </c>
      <c r="K209" s="1210">
        <f>'Recycling - Case 3'!Z163</f>
        <v>4774.8796293139649</v>
      </c>
      <c r="L209" s="1209">
        <f t="shared" si="64"/>
        <v>0.1</v>
      </c>
      <c r="M209" s="1209">
        <f t="shared" si="59"/>
        <v>0.9</v>
      </c>
      <c r="N209" s="53">
        <f t="shared" si="65"/>
        <v>0</v>
      </c>
      <c r="O209" s="53">
        <f t="shared" si="65"/>
        <v>0</v>
      </c>
      <c r="P209" s="776">
        <f t="shared" si="54"/>
        <v>0.38199037034511724</v>
      </c>
      <c r="Q209" s="519">
        <f t="shared" si="55"/>
        <v>17.189566665530275</v>
      </c>
      <c r="R209" s="53"/>
      <c r="S209" s="1211">
        <f t="shared" si="56"/>
        <v>1.0313739999318163</v>
      </c>
      <c r="T209" s="1198">
        <f t="shared" si="57"/>
        <v>0.89700320759428354</v>
      </c>
      <c r="U209" s="1199">
        <f t="shared" si="57"/>
        <v>40.365144341742763</v>
      </c>
      <c r="V209" s="1199">
        <f t="shared" si="57"/>
        <v>0</v>
      </c>
      <c r="W209" s="1200">
        <f t="shared" si="57"/>
        <v>2.4219086605045654</v>
      </c>
    </row>
    <row r="210" spans="1:23">
      <c r="A210" s="123">
        <f>'Input data'!A144</f>
        <v>2044</v>
      </c>
      <c r="B210" s="1208">
        <f>'Recycling - Case 2'!AI124</f>
        <v>6437.6604656145792</v>
      </c>
      <c r="C210" s="1209">
        <f t="shared" si="63"/>
        <v>0.1</v>
      </c>
      <c r="D210" s="1209">
        <f t="shared" si="58"/>
        <v>0.9</v>
      </c>
      <c r="E210" s="53">
        <v>0</v>
      </c>
      <c r="F210" s="53">
        <v>0</v>
      </c>
      <c r="G210" s="776">
        <f t="shared" si="51"/>
        <v>0.51501283724916636</v>
      </c>
      <c r="H210" s="519">
        <f t="shared" si="52"/>
        <v>23.175577676212484</v>
      </c>
      <c r="I210" s="53"/>
      <c r="J210" s="776">
        <f t="shared" si="53"/>
        <v>1.3905346605727491</v>
      </c>
      <c r="K210" s="1210">
        <f>'Recycling - Case 3'!Z164</f>
        <v>4880.2790721144393</v>
      </c>
      <c r="L210" s="1209">
        <f t="shared" si="64"/>
        <v>0.1</v>
      </c>
      <c r="M210" s="1209">
        <f t="shared" si="59"/>
        <v>0.9</v>
      </c>
      <c r="N210" s="53">
        <f t="shared" si="65"/>
        <v>0</v>
      </c>
      <c r="O210" s="53">
        <f t="shared" si="65"/>
        <v>0</v>
      </c>
      <c r="P210" s="776">
        <f t="shared" si="54"/>
        <v>0.39042232576915525</v>
      </c>
      <c r="Q210" s="519">
        <f t="shared" si="55"/>
        <v>17.569004659611984</v>
      </c>
      <c r="R210" s="53"/>
      <c r="S210" s="1211">
        <f t="shared" si="56"/>
        <v>1.054140279576719</v>
      </c>
      <c r="T210" s="1198">
        <f t="shared" si="57"/>
        <v>0.90543516301832161</v>
      </c>
      <c r="U210" s="1199">
        <f t="shared" si="57"/>
        <v>40.744582335824468</v>
      </c>
      <c r="V210" s="1199">
        <f t="shared" si="57"/>
        <v>0</v>
      </c>
      <c r="W210" s="1200">
        <f t="shared" si="57"/>
        <v>2.4446749401494681</v>
      </c>
    </row>
    <row r="211" spans="1:23">
      <c r="A211" s="123">
        <f>'Input data'!A145</f>
        <v>2045</v>
      </c>
      <c r="B211" s="1208">
        <f>'Recycling - Case 2'!AI125</f>
        <v>6437.6604656145792</v>
      </c>
      <c r="C211" s="1209">
        <f t="shared" si="63"/>
        <v>0.1</v>
      </c>
      <c r="D211" s="1209">
        <f t="shared" si="58"/>
        <v>0.9</v>
      </c>
      <c r="E211" s="53">
        <v>0</v>
      </c>
      <c r="F211" s="53">
        <v>0</v>
      </c>
      <c r="G211" s="776">
        <f t="shared" si="51"/>
        <v>0.51501283724916636</v>
      </c>
      <c r="H211" s="519">
        <f t="shared" si="52"/>
        <v>23.175577676212484</v>
      </c>
      <c r="I211" s="53"/>
      <c r="J211" s="776">
        <f t="shared" si="53"/>
        <v>1.3905346605727491</v>
      </c>
      <c r="K211" s="1210">
        <f>'Recycling - Case 3'!Z165</f>
        <v>4989.8209734474995</v>
      </c>
      <c r="L211" s="1209">
        <f t="shared" si="64"/>
        <v>0.1</v>
      </c>
      <c r="M211" s="1209">
        <f t="shared" si="59"/>
        <v>0.9</v>
      </c>
      <c r="N211" s="53">
        <f t="shared" si="65"/>
        <v>0</v>
      </c>
      <c r="O211" s="53">
        <f t="shared" si="65"/>
        <v>0</v>
      </c>
      <c r="P211" s="776">
        <f t="shared" si="54"/>
        <v>0.3991856778758</v>
      </c>
      <c r="Q211" s="519">
        <f t="shared" si="55"/>
        <v>17.963355504410998</v>
      </c>
      <c r="R211" s="53"/>
      <c r="S211" s="1211">
        <f t="shared" si="56"/>
        <v>1.0778013302646599</v>
      </c>
      <c r="T211" s="1198">
        <f t="shared" si="57"/>
        <v>0.9141985151249663</v>
      </c>
      <c r="U211" s="1199">
        <f t="shared" si="57"/>
        <v>41.138933180623482</v>
      </c>
      <c r="V211" s="1199">
        <f t="shared" si="57"/>
        <v>0</v>
      </c>
      <c r="W211" s="1200">
        <f t="shared" si="57"/>
        <v>2.4683359908374092</v>
      </c>
    </row>
    <row r="212" spans="1:23">
      <c r="A212" s="123">
        <f>'Input data'!A146</f>
        <v>2046</v>
      </c>
      <c r="B212" s="1208">
        <f>'Recycling - Case 2'!AI126</f>
        <v>6437.6604656145792</v>
      </c>
      <c r="C212" s="1209">
        <f t="shared" si="63"/>
        <v>0.1</v>
      </c>
      <c r="D212" s="1209">
        <f t="shared" si="58"/>
        <v>0.9</v>
      </c>
      <c r="E212" s="53">
        <v>0</v>
      </c>
      <c r="F212" s="53">
        <v>0</v>
      </c>
      <c r="G212" s="776">
        <f t="shared" si="51"/>
        <v>0.51501283724916636</v>
      </c>
      <c r="H212" s="519">
        <f t="shared" si="52"/>
        <v>23.175577676212484</v>
      </c>
      <c r="I212" s="53"/>
      <c r="J212" s="776">
        <f t="shared" si="53"/>
        <v>1.3905346605727491</v>
      </c>
      <c r="K212" s="1210">
        <f>'Recycling - Case 3'!Z166</f>
        <v>5111.6211020205074</v>
      </c>
      <c r="L212" s="1209">
        <f t="shared" si="64"/>
        <v>0.1</v>
      </c>
      <c r="M212" s="1209">
        <f t="shared" si="59"/>
        <v>0.9</v>
      </c>
      <c r="N212" s="53">
        <f t="shared" si="65"/>
        <v>0</v>
      </c>
      <c r="O212" s="53">
        <f t="shared" si="65"/>
        <v>0</v>
      </c>
      <c r="P212" s="776">
        <f t="shared" si="54"/>
        <v>0.40892968816164066</v>
      </c>
      <c r="Q212" s="519">
        <f t="shared" si="55"/>
        <v>18.401835967273826</v>
      </c>
      <c r="R212" s="53"/>
      <c r="S212" s="1211">
        <f t="shared" si="56"/>
        <v>1.1041101580364296</v>
      </c>
      <c r="T212" s="1198">
        <f t="shared" si="57"/>
        <v>0.92394252541080701</v>
      </c>
      <c r="U212" s="1199">
        <f t="shared" si="57"/>
        <v>41.57741364348631</v>
      </c>
      <c r="V212" s="1199">
        <f t="shared" si="57"/>
        <v>0</v>
      </c>
      <c r="W212" s="1200">
        <f t="shared" si="57"/>
        <v>2.4946448186091787</v>
      </c>
    </row>
    <row r="213" spans="1:23">
      <c r="A213" s="123">
        <f>'Input data'!A147</f>
        <v>2047</v>
      </c>
      <c r="B213" s="1208">
        <f>'Recycling - Case 2'!AI127</f>
        <v>6437.6604656145792</v>
      </c>
      <c r="C213" s="1209">
        <f t="shared" si="63"/>
        <v>0.1</v>
      </c>
      <c r="D213" s="1209">
        <f t="shared" si="58"/>
        <v>0.9</v>
      </c>
      <c r="E213" s="53">
        <v>0</v>
      </c>
      <c r="F213" s="53">
        <v>0</v>
      </c>
      <c r="G213" s="776">
        <f t="shared" si="51"/>
        <v>0.51501283724916636</v>
      </c>
      <c r="H213" s="519">
        <f t="shared" si="52"/>
        <v>23.175577676212484</v>
      </c>
      <c r="I213" s="53"/>
      <c r="J213" s="776">
        <f t="shared" si="53"/>
        <v>1.3905346605727491</v>
      </c>
      <c r="K213" s="1210">
        <f>'Recycling - Case 3'!Z167</f>
        <v>5199.0583729432956</v>
      </c>
      <c r="L213" s="1209">
        <f t="shared" si="64"/>
        <v>0.1</v>
      </c>
      <c r="M213" s="1209">
        <f t="shared" si="59"/>
        <v>0.9</v>
      </c>
      <c r="N213" s="53">
        <f t="shared" si="65"/>
        <v>0</v>
      </c>
      <c r="O213" s="53">
        <f t="shared" si="65"/>
        <v>0</v>
      </c>
      <c r="P213" s="776">
        <f t="shared" si="54"/>
        <v>0.41592466983546372</v>
      </c>
      <c r="Q213" s="519">
        <f t="shared" si="55"/>
        <v>18.716610142595865</v>
      </c>
      <c r="R213" s="53"/>
      <c r="S213" s="1211">
        <f t="shared" si="56"/>
        <v>1.1229966085557519</v>
      </c>
      <c r="T213" s="1198">
        <f t="shared" si="57"/>
        <v>0.93093750708463008</v>
      </c>
      <c r="U213" s="1199">
        <f t="shared" si="57"/>
        <v>41.892187818808353</v>
      </c>
      <c r="V213" s="1199">
        <f t="shared" si="57"/>
        <v>0</v>
      </c>
      <c r="W213" s="1200">
        <f t="shared" si="57"/>
        <v>2.5135312691285012</v>
      </c>
    </row>
    <row r="214" spans="1:23">
      <c r="A214" s="123">
        <f>'Input data'!A148</f>
        <v>2048</v>
      </c>
      <c r="B214" s="1208">
        <f>'Recycling - Case 2'!AI128</f>
        <v>6437.6604656145792</v>
      </c>
      <c r="C214" s="1209">
        <f t="shared" si="63"/>
        <v>0.1</v>
      </c>
      <c r="D214" s="1209">
        <f t="shared" si="58"/>
        <v>0.9</v>
      </c>
      <c r="E214" s="53">
        <v>0</v>
      </c>
      <c r="F214" s="53">
        <v>0</v>
      </c>
      <c r="G214" s="776">
        <f t="shared" si="51"/>
        <v>0.51501283724916636</v>
      </c>
      <c r="H214" s="519">
        <f t="shared" si="52"/>
        <v>23.175577676212484</v>
      </c>
      <c r="I214" s="53"/>
      <c r="J214" s="776">
        <f t="shared" si="53"/>
        <v>1.3905346605727491</v>
      </c>
      <c r="K214" s="1210">
        <f>'Recycling - Case 3'!Z168</f>
        <v>5289.613511597383</v>
      </c>
      <c r="L214" s="1209">
        <f t="shared" si="64"/>
        <v>0.1</v>
      </c>
      <c r="M214" s="1209">
        <f t="shared" si="59"/>
        <v>0.9</v>
      </c>
      <c r="N214" s="53">
        <f t="shared" si="65"/>
        <v>0</v>
      </c>
      <c r="O214" s="53">
        <f t="shared" si="65"/>
        <v>0</v>
      </c>
      <c r="P214" s="776">
        <f t="shared" si="54"/>
        <v>0.42316908092779071</v>
      </c>
      <c r="Q214" s="519">
        <f t="shared" si="55"/>
        <v>19.042608641750579</v>
      </c>
      <c r="R214" s="53"/>
      <c r="S214" s="1211">
        <f t="shared" si="56"/>
        <v>1.1425565185050348</v>
      </c>
      <c r="T214" s="1198">
        <f t="shared" si="57"/>
        <v>0.93818191817695706</v>
      </c>
      <c r="U214" s="1199">
        <f t="shared" si="57"/>
        <v>42.21818631796306</v>
      </c>
      <c r="V214" s="1199">
        <f t="shared" si="57"/>
        <v>0</v>
      </c>
      <c r="W214" s="1200">
        <f t="shared" si="57"/>
        <v>2.5330911790777839</v>
      </c>
    </row>
    <row r="215" spans="1:23">
      <c r="A215" s="123">
        <f>'Input data'!A149</f>
        <v>2049</v>
      </c>
      <c r="B215" s="1208">
        <f>'Recycling - Case 2'!AI129</f>
        <v>6437.6604656145792</v>
      </c>
      <c r="C215" s="1209">
        <f t="shared" si="63"/>
        <v>0.1</v>
      </c>
      <c r="D215" s="1209">
        <f t="shared" si="58"/>
        <v>0.9</v>
      </c>
      <c r="E215" s="53">
        <v>0</v>
      </c>
      <c r="F215" s="53">
        <v>0</v>
      </c>
      <c r="G215" s="776">
        <f t="shared" si="51"/>
        <v>0.51501283724916636</v>
      </c>
      <c r="H215" s="519">
        <f t="shared" si="52"/>
        <v>23.175577676212484</v>
      </c>
      <c r="I215" s="53"/>
      <c r="J215" s="776">
        <f t="shared" si="53"/>
        <v>1.3905346605727491</v>
      </c>
      <c r="K215" s="1210">
        <f>'Recycling - Case 3'!Z169</f>
        <v>5377.5009175276673</v>
      </c>
      <c r="L215" s="1209">
        <f t="shared" si="64"/>
        <v>0.1</v>
      </c>
      <c r="M215" s="1209">
        <f t="shared" si="59"/>
        <v>0.9</v>
      </c>
      <c r="N215" s="53">
        <f t="shared" si="65"/>
        <v>0</v>
      </c>
      <c r="O215" s="53">
        <f t="shared" si="65"/>
        <v>0</v>
      </c>
      <c r="P215" s="776">
        <f t="shared" si="54"/>
        <v>0.4302000734022135</v>
      </c>
      <c r="Q215" s="519">
        <f t="shared" si="55"/>
        <v>19.359003303099602</v>
      </c>
      <c r="R215" s="53"/>
      <c r="S215" s="1211">
        <f t="shared" si="56"/>
        <v>1.1615401981859761</v>
      </c>
      <c r="T215" s="1198">
        <f t="shared" si="57"/>
        <v>0.9452129106513798</v>
      </c>
      <c r="U215" s="1199">
        <f t="shared" si="57"/>
        <v>42.534580979312082</v>
      </c>
      <c r="V215" s="1199">
        <f t="shared" si="57"/>
        <v>0</v>
      </c>
      <c r="W215" s="1200">
        <f t="shared" si="57"/>
        <v>2.5520748587587252</v>
      </c>
    </row>
    <row r="216" spans="1:23" ht="15.75" thickBot="1">
      <c r="A216" s="123">
        <f>'Input data'!A150</f>
        <v>2050</v>
      </c>
      <c r="B216" s="1208">
        <f>'Recycling - Case 2'!AI130</f>
        <v>6437.6604656145792</v>
      </c>
      <c r="C216" s="578">
        <f t="shared" si="63"/>
        <v>0.1</v>
      </c>
      <c r="D216" s="578">
        <f t="shared" si="58"/>
        <v>0.9</v>
      </c>
      <c r="E216" s="1212">
        <v>0</v>
      </c>
      <c r="F216" s="1212">
        <v>0</v>
      </c>
      <c r="G216" s="1213">
        <f t="shared" si="51"/>
        <v>0.51501283724916636</v>
      </c>
      <c r="H216" s="1144">
        <f t="shared" si="52"/>
        <v>23.175577676212484</v>
      </c>
      <c r="I216" s="1212"/>
      <c r="J216" s="1213">
        <f t="shared" si="53"/>
        <v>1.3905346605727491</v>
      </c>
      <c r="K216" s="1210">
        <f>'Recycling - Case 3'!Z170</f>
        <v>5465.916608694276</v>
      </c>
      <c r="L216" s="578">
        <f t="shared" si="64"/>
        <v>0.1</v>
      </c>
      <c r="M216" s="578">
        <f t="shared" si="59"/>
        <v>0.9</v>
      </c>
      <c r="N216" s="1212">
        <f t="shared" si="65"/>
        <v>0</v>
      </c>
      <c r="O216" s="1212">
        <f t="shared" si="65"/>
        <v>0</v>
      </c>
      <c r="P216" s="1213">
        <f t="shared" si="54"/>
        <v>0.43727332869554214</v>
      </c>
      <c r="Q216" s="1144">
        <f t="shared" si="55"/>
        <v>19.677299791299394</v>
      </c>
      <c r="R216" s="1212"/>
      <c r="S216" s="1214">
        <f t="shared" si="56"/>
        <v>1.1806379874779636</v>
      </c>
      <c r="T216" s="1215">
        <f t="shared" si="57"/>
        <v>0.9522861659447085</v>
      </c>
      <c r="U216" s="1216">
        <f t="shared" si="57"/>
        <v>42.852877467511874</v>
      </c>
      <c r="V216" s="1216">
        <f t="shared" si="57"/>
        <v>0</v>
      </c>
      <c r="W216" s="1217">
        <f t="shared" si="57"/>
        <v>2.5711726480507124</v>
      </c>
    </row>
    <row r="217" spans="1:23">
      <c r="A217" s="1202" t="s">
        <v>659</v>
      </c>
      <c r="B217" s="1203"/>
      <c r="C217" s="1218"/>
      <c r="D217" s="1218"/>
      <c r="E217" s="1219"/>
      <c r="F217" s="1219"/>
      <c r="G217" s="1220"/>
      <c r="H217" s="1221"/>
      <c r="I217" s="1222"/>
      <c r="J217" s="1220"/>
      <c r="K217" s="1223"/>
      <c r="L217" s="1218"/>
      <c r="M217" s="1218"/>
      <c r="N217" s="1219"/>
      <c r="O217" s="1219"/>
      <c r="P217" s="1220"/>
      <c r="Q217" s="1221"/>
      <c r="R217" s="1219"/>
      <c r="S217" s="1224"/>
      <c r="T217" s="1194"/>
      <c r="U217" s="1195"/>
      <c r="V217" s="1195"/>
      <c r="W217" s="1196"/>
    </row>
    <row r="218" spans="1:23">
      <c r="A218" s="123">
        <f>'Input data'!A118</f>
        <v>2018</v>
      </c>
      <c r="B218" s="1208">
        <f>'Recycling - Case 3'!AI98</f>
        <v>3707.5235423427162</v>
      </c>
      <c r="C218" s="1209">
        <f>($C$222-$C$80)/($A$222-$A$80)+C80</f>
        <v>0.14000000000000001</v>
      </c>
      <c r="D218" s="1209">
        <f>1-C218</f>
        <v>0.86</v>
      </c>
      <c r="E218" s="53">
        <v>0</v>
      </c>
      <c r="F218" s="53">
        <v>0</v>
      </c>
      <c r="G218" s="776">
        <f>C218*$D$5*B218/1000-E218</f>
        <v>0.41524263674238426</v>
      </c>
      <c r="H218" s="519">
        <f>D218*$D$4*B218/1000-F218</f>
        <v>12.753880985658943</v>
      </c>
      <c r="I218" s="53"/>
      <c r="J218" s="776">
        <f>D218*$D$7*B218/1000</f>
        <v>0.76523285913953654</v>
      </c>
      <c r="K218" s="1210">
        <f>'Recycling - Case 3'!Z138</f>
        <v>1789.9687605419947</v>
      </c>
      <c r="L218" s="1209">
        <f>($L$222-$L$80)/($A$222-$A$80)+L80</f>
        <v>0.18</v>
      </c>
      <c r="M218" s="1209">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1">
        <f t="shared" ref="S218:S250" si="69">M218*$D$7*K218/1000</f>
        <v>0.35226585207466454</v>
      </c>
      <c r="T218" s="1198">
        <f t="shared" ref="T218:W250" si="70">G218+P218</f>
        <v>0.67299813826043153</v>
      </c>
      <c r="U218" s="1199">
        <f t="shared" si="70"/>
        <v>18.624978520236688</v>
      </c>
      <c r="V218" s="1199">
        <f t="shared" si="70"/>
        <v>0</v>
      </c>
      <c r="W218" s="1200">
        <f t="shared" si="70"/>
        <v>1.1174987112142012</v>
      </c>
    </row>
    <row r="219" spans="1:23">
      <c r="A219" s="123">
        <f>'Input data'!A119</f>
        <v>2019</v>
      </c>
      <c r="B219" s="1208">
        <f>'Recycling - Case 3'!AI99</f>
        <v>4010.8720893729233</v>
      </c>
      <c r="C219" s="1209">
        <f>($C$222-$C$80)/($A$222-$A$80)+C218</f>
        <v>0.23</v>
      </c>
      <c r="D219" s="1209">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0">
        <f>'Recycling - Case 3'!Z139</f>
        <v>2562.551002317176</v>
      </c>
      <c r="L219" s="1209">
        <f>($L$222-$L$80)/($A$222-$A$80)+L218</f>
        <v>0.26</v>
      </c>
      <c r="M219" s="1209">
        <f>($M$222-$M$80)/($A$222-$A$80)+M218</f>
        <v>0.7400000000000001</v>
      </c>
      <c r="N219" s="53">
        <f t="shared" si="66"/>
        <v>0</v>
      </c>
      <c r="O219" s="53">
        <f t="shared" si="66"/>
        <v>0</v>
      </c>
      <c r="P219" s="776">
        <f t="shared" si="67"/>
        <v>0.53301060848197268</v>
      </c>
      <c r="Q219" s="519">
        <f t="shared" si="68"/>
        <v>7.5851509668588424</v>
      </c>
      <c r="R219" s="53"/>
      <c r="S219" s="1211">
        <f t="shared" si="69"/>
        <v>0.45510905801153045</v>
      </c>
      <c r="T219" s="1198">
        <f t="shared" si="70"/>
        <v>1.2710110729265907</v>
      </c>
      <c r="U219" s="1199">
        <f t="shared" si="70"/>
        <v>19.938637002127447</v>
      </c>
      <c r="V219" s="1199">
        <f t="shared" si="70"/>
        <v>0</v>
      </c>
      <c r="W219" s="1200">
        <f t="shared" si="70"/>
        <v>1.1963182201276465</v>
      </c>
    </row>
    <row r="220" spans="1:23">
      <c r="A220" s="123">
        <f>'Input data'!A120</f>
        <v>2020</v>
      </c>
      <c r="B220" s="1208">
        <f>'Recycling - Case 3'!AI100</f>
        <v>4617.5691834333375</v>
      </c>
      <c r="C220" s="1209">
        <f>($C$222-$C$80)/($A$222-$A$80)+C219</f>
        <v>0.32</v>
      </c>
      <c r="D220" s="1209">
        <f t="shared" si="71"/>
        <v>0.67999999999999994</v>
      </c>
      <c r="E220" s="53">
        <v>0</v>
      </c>
      <c r="F220" s="53">
        <v>0</v>
      </c>
      <c r="G220" s="776">
        <f t="shared" si="72"/>
        <v>1.1820977109589343</v>
      </c>
      <c r="H220" s="519">
        <f t="shared" si="73"/>
        <v>12.559788178938678</v>
      </c>
      <c r="I220" s="53"/>
      <c r="J220" s="776">
        <f t="shared" si="74"/>
        <v>0.75358729073632058</v>
      </c>
      <c r="K220" s="1210">
        <f>'Recycling - Case 3'!Z140</f>
        <v>2560.6366375303887</v>
      </c>
      <c r="L220" s="1209">
        <f>($L$222-$L$80)/($A$222-$A$80)+L219</f>
        <v>0.34</v>
      </c>
      <c r="M220" s="1209">
        <f>($M$222-$M$80)/($A$222-$A$80)+M219</f>
        <v>0.66000000000000014</v>
      </c>
      <c r="N220" s="53">
        <f t="shared" si="66"/>
        <v>0</v>
      </c>
      <c r="O220" s="53">
        <f t="shared" si="66"/>
        <v>0</v>
      </c>
      <c r="P220" s="776">
        <f t="shared" si="67"/>
        <v>0.69649316540826578</v>
      </c>
      <c r="Q220" s="519">
        <f t="shared" si="68"/>
        <v>6.7600807230802271</v>
      </c>
      <c r="R220" s="53"/>
      <c r="S220" s="1211">
        <f t="shared" si="69"/>
        <v>0.40560484338481373</v>
      </c>
      <c r="T220" s="1198">
        <f t="shared" si="70"/>
        <v>1.8785908763672001</v>
      </c>
      <c r="U220" s="1199">
        <f t="shared" si="70"/>
        <v>19.319868902018904</v>
      </c>
      <c r="V220" s="1199">
        <f t="shared" si="70"/>
        <v>0</v>
      </c>
      <c r="W220" s="1200">
        <f t="shared" si="70"/>
        <v>1.1591921341211342</v>
      </c>
    </row>
    <row r="221" spans="1:23">
      <c r="A221" s="123">
        <f>'Input data'!A121</f>
        <v>2021</v>
      </c>
      <c r="B221" s="1208">
        <f>'Recycling - Case 3'!AI101</f>
        <v>5830.9633715541659</v>
      </c>
      <c r="C221" s="1209">
        <f>($C$222-$C$80)/($A$222-$A$80)+C220</f>
        <v>0.41000000000000003</v>
      </c>
      <c r="D221" s="1209">
        <f t="shared" si="71"/>
        <v>0.59</v>
      </c>
      <c r="E221" s="53">
        <v>0</v>
      </c>
      <c r="F221" s="53">
        <v>0</v>
      </c>
      <c r="G221" s="776">
        <f t="shared" si="72"/>
        <v>1.9125559858697667</v>
      </c>
      <c r="H221" s="519">
        <f t="shared" si="73"/>
        <v>13.76107355686783</v>
      </c>
      <c r="I221" s="53"/>
      <c r="J221" s="776">
        <f t="shared" si="74"/>
        <v>0.82566441341206975</v>
      </c>
      <c r="K221" s="1210">
        <f>'Recycling - Case 3'!Z141</f>
        <v>2935.6191232226211</v>
      </c>
      <c r="L221" s="1209">
        <f>($L$222-$L$80)/($A$222-$A$80)+L220</f>
        <v>0.42000000000000004</v>
      </c>
      <c r="M221" s="1209">
        <f>($M$222-$M$80)/($A$222-$A$80)+M220</f>
        <v>0.58000000000000018</v>
      </c>
      <c r="N221" s="53">
        <f t="shared" si="66"/>
        <v>0</v>
      </c>
      <c r="O221" s="53">
        <f t="shared" si="66"/>
        <v>0</v>
      </c>
      <c r="P221" s="776">
        <f t="shared" si="67"/>
        <v>0.98636802540280089</v>
      </c>
      <c r="Q221" s="519">
        <f t="shared" si="68"/>
        <v>6.8106363658764835</v>
      </c>
      <c r="R221" s="53"/>
      <c r="S221" s="1211">
        <f t="shared" si="69"/>
        <v>0.408638181952589</v>
      </c>
      <c r="T221" s="1198">
        <f t="shared" si="70"/>
        <v>2.8989240112725678</v>
      </c>
      <c r="U221" s="1199">
        <f t="shared" si="70"/>
        <v>20.571709922744311</v>
      </c>
      <c r="V221" s="1199">
        <f t="shared" si="70"/>
        <v>0</v>
      </c>
      <c r="W221" s="1200">
        <f t="shared" si="70"/>
        <v>1.2343025953646587</v>
      </c>
    </row>
    <row r="222" spans="1:23">
      <c r="A222" s="123">
        <f>'Input data'!A122</f>
        <v>2022</v>
      </c>
      <c r="B222" s="1208">
        <f>'Recycling - Case 3'!AI102</f>
        <v>6437.6604656145792</v>
      </c>
      <c r="C222" s="1209">
        <f>'Recycling - Case 3'!G31</f>
        <v>0.5</v>
      </c>
      <c r="D222" s="1209">
        <f>'Recycling - Case 3'!H31</f>
        <v>0.5</v>
      </c>
      <c r="E222" s="53">
        <v>0</v>
      </c>
      <c r="F222" s="53">
        <v>0</v>
      </c>
      <c r="G222" s="776">
        <f t="shared" si="72"/>
        <v>2.5750641862458319</v>
      </c>
      <c r="H222" s="519">
        <f t="shared" si="73"/>
        <v>12.875320931229158</v>
      </c>
      <c r="I222" s="53"/>
      <c r="J222" s="776">
        <f t="shared" si="74"/>
        <v>0.77251925587374948</v>
      </c>
      <c r="K222" s="1210">
        <f>'Recycling - Case 3'!Z142</f>
        <v>3145.7858208059524</v>
      </c>
      <c r="L222" s="1209">
        <f>'Recycling - Case 3'!G31</f>
        <v>0.5</v>
      </c>
      <c r="M222" s="1209">
        <f>'Recycling - Case 3'!H31</f>
        <v>0.5</v>
      </c>
      <c r="N222" s="53">
        <f t="shared" si="66"/>
        <v>0</v>
      </c>
      <c r="O222" s="53">
        <f t="shared" si="66"/>
        <v>0</v>
      </c>
      <c r="P222" s="776">
        <f t="shared" si="67"/>
        <v>1.258314328322381</v>
      </c>
      <c r="Q222" s="519">
        <f t="shared" si="68"/>
        <v>6.2915716416119052</v>
      </c>
      <c r="R222" s="53"/>
      <c r="S222" s="1211">
        <f t="shared" si="69"/>
        <v>0.37749429849671429</v>
      </c>
      <c r="T222" s="1198">
        <f t="shared" si="70"/>
        <v>3.8333785145682127</v>
      </c>
      <c r="U222" s="1199">
        <f t="shared" si="70"/>
        <v>19.166892572841064</v>
      </c>
      <c r="V222" s="1199">
        <f t="shared" si="70"/>
        <v>0</v>
      </c>
      <c r="W222" s="1200">
        <f t="shared" si="70"/>
        <v>1.1500135543704637</v>
      </c>
    </row>
    <row r="223" spans="1:23">
      <c r="A223" s="123">
        <f>'Input data'!A123</f>
        <v>2023</v>
      </c>
      <c r="B223" s="1208">
        <f>'Recycling - Case 3'!AI103</f>
        <v>6437.6604656145792</v>
      </c>
      <c r="C223" s="1209">
        <f>C222</f>
        <v>0.5</v>
      </c>
      <c r="D223" s="1209">
        <f>D222</f>
        <v>0.5</v>
      </c>
      <c r="E223" s="53">
        <v>0</v>
      </c>
      <c r="F223" s="53">
        <v>0</v>
      </c>
      <c r="G223" s="776">
        <f t="shared" si="72"/>
        <v>2.5750641862458319</v>
      </c>
      <c r="H223" s="519">
        <f t="shared" si="73"/>
        <v>12.875320931229158</v>
      </c>
      <c r="I223" s="53"/>
      <c r="J223" s="776">
        <f t="shared" si="74"/>
        <v>0.77251925587374948</v>
      </c>
      <c r="K223" s="1210">
        <f>'Recycling - Case 3'!Z143</f>
        <v>3202.2796257327404</v>
      </c>
      <c r="L223" s="1209">
        <f>L222</f>
        <v>0.5</v>
      </c>
      <c r="M223" s="1209">
        <f>M222</f>
        <v>0.5</v>
      </c>
      <c r="N223" s="53">
        <f t="shared" si="66"/>
        <v>0</v>
      </c>
      <c r="O223" s="53">
        <f t="shared" si="66"/>
        <v>0</v>
      </c>
      <c r="P223" s="776">
        <f t="shared" si="67"/>
        <v>1.2809118502930963</v>
      </c>
      <c r="Q223" s="519">
        <f t="shared" si="68"/>
        <v>6.4045592514654812</v>
      </c>
      <c r="R223" s="53"/>
      <c r="S223" s="1211">
        <f t="shared" si="69"/>
        <v>0.38427355508792888</v>
      </c>
      <c r="T223" s="1198">
        <f t="shared" si="70"/>
        <v>3.8559760365389284</v>
      </c>
      <c r="U223" s="1199">
        <f t="shared" si="70"/>
        <v>19.27988018269464</v>
      </c>
      <c r="V223" s="1199">
        <f t="shared" si="70"/>
        <v>0</v>
      </c>
      <c r="W223" s="1200">
        <f t="shared" si="70"/>
        <v>1.1567928109616783</v>
      </c>
    </row>
    <row r="224" spans="1:23">
      <c r="A224" s="123">
        <f>'Input data'!A124</f>
        <v>2024</v>
      </c>
      <c r="B224" s="1208">
        <f>'Recycling - Case 3'!AI104</f>
        <v>6437.6604656145792</v>
      </c>
      <c r="C224" s="1209">
        <f t="shared" ref="C224:D239" si="75">C223</f>
        <v>0.5</v>
      </c>
      <c r="D224" s="1209">
        <f t="shared" si="75"/>
        <v>0.5</v>
      </c>
      <c r="E224" s="53">
        <v>0</v>
      </c>
      <c r="F224" s="53">
        <v>0</v>
      </c>
      <c r="G224" s="776">
        <f t="shared" si="72"/>
        <v>2.5750641862458319</v>
      </c>
      <c r="H224" s="519">
        <f t="shared" si="73"/>
        <v>12.875320931229158</v>
      </c>
      <c r="I224" s="53"/>
      <c r="J224" s="776">
        <f t="shared" si="74"/>
        <v>0.77251925587374948</v>
      </c>
      <c r="K224" s="1210">
        <f>'Recycling - Case 3'!Z144</f>
        <v>3266.3298406827407</v>
      </c>
      <c r="L224" s="1209">
        <f t="shared" ref="L224:M239" si="76">L223</f>
        <v>0.5</v>
      </c>
      <c r="M224" s="1209">
        <f t="shared" si="76"/>
        <v>0.5</v>
      </c>
      <c r="N224" s="53">
        <f t="shared" si="66"/>
        <v>0</v>
      </c>
      <c r="O224" s="53">
        <f t="shared" si="66"/>
        <v>0</v>
      </c>
      <c r="P224" s="776">
        <f t="shared" si="67"/>
        <v>1.3065319362730963</v>
      </c>
      <c r="Q224" s="519">
        <f t="shared" si="68"/>
        <v>6.5326596813654811</v>
      </c>
      <c r="R224" s="53"/>
      <c r="S224" s="1211">
        <f t="shared" si="69"/>
        <v>0.39195958088192889</v>
      </c>
      <c r="T224" s="1198">
        <f t="shared" si="70"/>
        <v>3.8815961225189284</v>
      </c>
      <c r="U224" s="1199">
        <f t="shared" si="70"/>
        <v>19.407980612594638</v>
      </c>
      <c r="V224" s="1199">
        <f t="shared" si="70"/>
        <v>0</v>
      </c>
      <c r="W224" s="1200">
        <f t="shared" si="70"/>
        <v>1.1644788367556784</v>
      </c>
    </row>
    <row r="225" spans="1:23">
      <c r="A225" s="123">
        <f>'Input data'!A125</f>
        <v>2025</v>
      </c>
      <c r="B225" s="1208">
        <f>'Recycling - Case 3'!AI105</f>
        <v>6437.6604656145792</v>
      </c>
      <c r="C225" s="1209">
        <f t="shared" si="75"/>
        <v>0.5</v>
      </c>
      <c r="D225" s="1209">
        <f t="shared" si="75"/>
        <v>0.5</v>
      </c>
      <c r="E225" s="53">
        <v>0</v>
      </c>
      <c r="F225" s="53">
        <v>0</v>
      </c>
      <c r="G225" s="776">
        <f t="shared" si="72"/>
        <v>2.5750641862458319</v>
      </c>
      <c r="H225" s="519">
        <f t="shared" si="73"/>
        <v>12.875320931229158</v>
      </c>
      <c r="I225" s="53"/>
      <c r="J225" s="776">
        <f t="shared" si="74"/>
        <v>0.77251925587374948</v>
      </c>
      <c r="K225" s="1210">
        <f>'Recycling - Case 3'!Z145</f>
        <v>3327.4801729303604</v>
      </c>
      <c r="L225" s="1209">
        <f t="shared" si="76"/>
        <v>0.5</v>
      </c>
      <c r="M225" s="1209">
        <f t="shared" si="76"/>
        <v>0.5</v>
      </c>
      <c r="N225" s="53">
        <f t="shared" si="66"/>
        <v>0</v>
      </c>
      <c r="O225" s="53">
        <f t="shared" si="66"/>
        <v>0</v>
      </c>
      <c r="P225" s="776">
        <f t="shared" si="67"/>
        <v>1.3309920691721442</v>
      </c>
      <c r="Q225" s="519">
        <f t="shared" si="68"/>
        <v>6.6549603458607205</v>
      </c>
      <c r="R225" s="53"/>
      <c r="S225" s="1211">
        <f t="shared" si="69"/>
        <v>0.39929762075164327</v>
      </c>
      <c r="T225" s="1198">
        <f t="shared" si="70"/>
        <v>3.9060562554179761</v>
      </c>
      <c r="U225" s="1199">
        <f t="shared" si="70"/>
        <v>19.530281277089877</v>
      </c>
      <c r="V225" s="1199">
        <f t="shared" si="70"/>
        <v>0</v>
      </c>
      <c r="W225" s="1200">
        <f t="shared" si="70"/>
        <v>1.1718168766253927</v>
      </c>
    </row>
    <row r="226" spans="1:23">
      <c r="A226" s="123">
        <f>'Input data'!A126</f>
        <v>2026</v>
      </c>
      <c r="B226" s="1208">
        <f>'Recycling - Case 3'!AI106</f>
        <v>6437.6604656145792</v>
      </c>
      <c r="C226" s="1209">
        <f t="shared" si="75"/>
        <v>0.5</v>
      </c>
      <c r="D226" s="1209">
        <f t="shared" si="75"/>
        <v>0.5</v>
      </c>
      <c r="E226" s="53">
        <v>0</v>
      </c>
      <c r="F226" s="53">
        <v>0</v>
      </c>
      <c r="G226" s="776">
        <f t="shared" si="72"/>
        <v>2.5750641862458319</v>
      </c>
      <c r="H226" s="519">
        <f t="shared" si="73"/>
        <v>12.875320931229158</v>
      </c>
      <c r="I226" s="53"/>
      <c r="J226" s="776">
        <f t="shared" si="74"/>
        <v>0.77251925587374948</v>
      </c>
      <c r="K226" s="1210">
        <f>'Recycling - Case 3'!Z146</f>
        <v>3382.7896165508691</v>
      </c>
      <c r="L226" s="1209">
        <f t="shared" si="76"/>
        <v>0.5</v>
      </c>
      <c r="M226" s="1209">
        <f t="shared" si="76"/>
        <v>0.5</v>
      </c>
      <c r="N226" s="53">
        <f t="shared" si="66"/>
        <v>0</v>
      </c>
      <c r="O226" s="53">
        <f t="shared" si="66"/>
        <v>0</v>
      </c>
      <c r="P226" s="776">
        <f t="shared" si="67"/>
        <v>1.3531158466203479</v>
      </c>
      <c r="Q226" s="519">
        <f t="shared" si="68"/>
        <v>6.7655792331017386</v>
      </c>
      <c r="R226" s="53"/>
      <c r="S226" s="1211">
        <f t="shared" si="69"/>
        <v>0.40593475398610429</v>
      </c>
      <c r="T226" s="1198">
        <f t="shared" si="70"/>
        <v>3.9281800328661798</v>
      </c>
      <c r="U226" s="1199">
        <f t="shared" si="70"/>
        <v>19.640900164330898</v>
      </c>
      <c r="V226" s="1199">
        <f t="shared" si="70"/>
        <v>0</v>
      </c>
      <c r="W226" s="1200">
        <f t="shared" si="70"/>
        <v>1.1784540098598537</v>
      </c>
    </row>
    <row r="227" spans="1:23">
      <c r="A227" s="123">
        <f>'Input data'!A127</f>
        <v>2027</v>
      </c>
      <c r="B227" s="1208">
        <f>'Recycling - Case 3'!AI107</f>
        <v>6437.6604656145792</v>
      </c>
      <c r="C227" s="1209">
        <f t="shared" si="75"/>
        <v>0.5</v>
      </c>
      <c r="D227" s="1209">
        <f t="shared" si="75"/>
        <v>0.5</v>
      </c>
      <c r="E227" s="53">
        <v>0</v>
      </c>
      <c r="F227" s="53">
        <v>0</v>
      </c>
      <c r="G227" s="776">
        <f t="shared" si="72"/>
        <v>2.5750641862458319</v>
      </c>
      <c r="H227" s="519">
        <f t="shared" si="73"/>
        <v>12.875320931229158</v>
      </c>
      <c r="I227" s="53"/>
      <c r="J227" s="776">
        <f t="shared" si="74"/>
        <v>0.77251925587374948</v>
      </c>
      <c r="K227" s="1210">
        <f>'Recycling - Case 3'!Z147</f>
        <v>3436.3360700456424</v>
      </c>
      <c r="L227" s="1209">
        <f t="shared" si="76"/>
        <v>0.5</v>
      </c>
      <c r="M227" s="1209">
        <f t="shared" si="76"/>
        <v>0.5</v>
      </c>
      <c r="N227" s="53">
        <f t="shared" si="66"/>
        <v>0</v>
      </c>
      <c r="O227" s="53">
        <f t="shared" si="66"/>
        <v>0</v>
      </c>
      <c r="P227" s="776">
        <f t="shared" si="67"/>
        <v>1.3745344280182572</v>
      </c>
      <c r="Q227" s="519">
        <f t="shared" si="68"/>
        <v>6.8726721400912849</v>
      </c>
      <c r="R227" s="53"/>
      <c r="S227" s="1211">
        <f t="shared" si="69"/>
        <v>0.41236032840547704</v>
      </c>
      <c r="T227" s="1198">
        <f t="shared" si="70"/>
        <v>3.9495986142640893</v>
      </c>
      <c r="U227" s="1199">
        <f t="shared" si="70"/>
        <v>19.747993071320444</v>
      </c>
      <c r="V227" s="1199">
        <f t="shared" si="70"/>
        <v>0</v>
      </c>
      <c r="W227" s="1200">
        <f t="shared" si="70"/>
        <v>1.1848795842792266</v>
      </c>
    </row>
    <row r="228" spans="1:23">
      <c r="A228" s="123">
        <f>'Input data'!A128</f>
        <v>2028</v>
      </c>
      <c r="B228" s="1208">
        <f>'Recycling - Case 3'!AI108</f>
        <v>6437.6604656145792</v>
      </c>
      <c r="C228" s="1209">
        <f t="shared" si="75"/>
        <v>0.5</v>
      </c>
      <c r="D228" s="1209">
        <f t="shared" si="75"/>
        <v>0.5</v>
      </c>
      <c r="E228" s="53">
        <v>0</v>
      </c>
      <c r="F228" s="53">
        <v>0</v>
      </c>
      <c r="G228" s="776">
        <f t="shared" si="72"/>
        <v>2.5750641862458319</v>
      </c>
      <c r="H228" s="519">
        <f t="shared" si="73"/>
        <v>12.875320931229158</v>
      </c>
      <c r="I228" s="53"/>
      <c r="J228" s="776">
        <f t="shared" si="74"/>
        <v>0.77251925587374948</v>
      </c>
      <c r="K228" s="1210">
        <f>'Recycling - Case 3'!Z148</f>
        <v>3487.0950456185724</v>
      </c>
      <c r="L228" s="1209">
        <f t="shared" si="76"/>
        <v>0.5</v>
      </c>
      <c r="M228" s="1209">
        <f t="shared" si="76"/>
        <v>0.5</v>
      </c>
      <c r="N228" s="53">
        <f t="shared" si="66"/>
        <v>0</v>
      </c>
      <c r="O228" s="53">
        <f t="shared" si="66"/>
        <v>0</v>
      </c>
      <c r="P228" s="776">
        <f t="shared" si="67"/>
        <v>1.3948380182474291</v>
      </c>
      <c r="Q228" s="519">
        <f t="shared" si="68"/>
        <v>6.9741900912371451</v>
      </c>
      <c r="R228" s="53"/>
      <c r="S228" s="1211">
        <f t="shared" si="69"/>
        <v>0.41845140547422871</v>
      </c>
      <c r="T228" s="1198">
        <f t="shared" si="70"/>
        <v>3.9699022044932608</v>
      </c>
      <c r="U228" s="1199">
        <f t="shared" si="70"/>
        <v>19.849511022466302</v>
      </c>
      <c r="V228" s="1199">
        <f t="shared" si="70"/>
        <v>0</v>
      </c>
      <c r="W228" s="1200">
        <f t="shared" si="70"/>
        <v>1.1909706613479782</v>
      </c>
    </row>
    <row r="229" spans="1:23">
      <c r="A229" s="123">
        <f>'Input data'!A129</f>
        <v>2029</v>
      </c>
      <c r="B229" s="1208">
        <f>'Recycling - Case 3'!AI109</f>
        <v>6437.6604656145792</v>
      </c>
      <c r="C229" s="1209">
        <f t="shared" si="75"/>
        <v>0.5</v>
      </c>
      <c r="D229" s="1209">
        <f t="shared" si="75"/>
        <v>0.5</v>
      </c>
      <c r="E229" s="53">
        <v>0</v>
      </c>
      <c r="F229" s="53">
        <v>0</v>
      </c>
      <c r="G229" s="776">
        <f t="shared" si="72"/>
        <v>2.5750641862458319</v>
      </c>
      <c r="H229" s="519">
        <f t="shared" si="73"/>
        <v>12.875320931229158</v>
      </c>
      <c r="I229" s="53"/>
      <c r="J229" s="776">
        <f t="shared" si="74"/>
        <v>0.77251925587374948</v>
      </c>
      <c r="K229" s="1210">
        <f>'Recycling - Case 3'!Z149</f>
        <v>3550.2801907226872</v>
      </c>
      <c r="L229" s="1209">
        <f t="shared" si="76"/>
        <v>0.5</v>
      </c>
      <c r="M229" s="1209">
        <f t="shared" si="76"/>
        <v>0.5</v>
      </c>
      <c r="N229" s="53">
        <f t="shared" si="66"/>
        <v>0</v>
      </c>
      <c r="O229" s="53">
        <f t="shared" si="66"/>
        <v>0</v>
      </c>
      <c r="P229" s="776">
        <f t="shared" si="67"/>
        <v>1.4201120762890751</v>
      </c>
      <c r="Q229" s="519">
        <f t="shared" si="68"/>
        <v>7.1005603814453746</v>
      </c>
      <c r="R229" s="53"/>
      <c r="S229" s="1211">
        <f t="shared" si="69"/>
        <v>0.42603362288672247</v>
      </c>
      <c r="T229" s="1198">
        <f t="shared" si="70"/>
        <v>3.995176262534907</v>
      </c>
      <c r="U229" s="1199">
        <f t="shared" si="70"/>
        <v>19.975881312674531</v>
      </c>
      <c r="V229" s="1199">
        <f t="shared" si="70"/>
        <v>0</v>
      </c>
      <c r="W229" s="1200">
        <f t="shared" si="70"/>
        <v>1.198552878760472</v>
      </c>
    </row>
    <row r="230" spans="1:23">
      <c r="A230" s="123">
        <f>'Input data'!A130</f>
        <v>2030</v>
      </c>
      <c r="B230" s="1208">
        <f>'Recycling - Case 3'!AI110</f>
        <v>6437.6604656145792</v>
      </c>
      <c r="C230" s="1209">
        <f t="shared" si="75"/>
        <v>0.5</v>
      </c>
      <c r="D230" s="1209">
        <f t="shared" si="75"/>
        <v>0.5</v>
      </c>
      <c r="E230" s="53">
        <v>0</v>
      </c>
      <c r="F230" s="53">
        <v>0</v>
      </c>
      <c r="G230" s="776">
        <f t="shared" si="72"/>
        <v>2.5750641862458319</v>
      </c>
      <c r="H230" s="519">
        <f t="shared" si="73"/>
        <v>12.875320931229158</v>
      </c>
      <c r="I230" s="53"/>
      <c r="J230" s="776">
        <f t="shared" si="74"/>
        <v>0.77251925587374948</v>
      </c>
      <c r="K230" s="1210">
        <f>'Recycling - Case 3'!Z150</f>
        <v>3612.8440237006225</v>
      </c>
      <c r="L230" s="1209">
        <f t="shared" si="76"/>
        <v>0.5</v>
      </c>
      <c r="M230" s="1209">
        <f t="shared" si="76"/>
        <v>0.5</v>
      </c>
      <c r="N230" s="53">
        <f t="shared" si="66"/>
        <v>0</v>
      </c>
      <c r="O230" s="53">
        <f t="shared" si="66"/>
        <v>0</v>
      </c>
      <c r="P230" s="776">
        <f t="shared" si="67"/>
        <v>1.4451376094802491</v>
      </c>
      <c r="Q230" s="519">
        <f t="shared" si="68"/>
        <v>7.2256880474012455</v>
      </c>
      <c r="R230" s="53"/>
      <c r="S230" s="1211">
        <f t="shared" si="69"/>
        <v>0.43354128284407473</v>
      </c>
      <c r="T230" s="1198">
        <f t="shared" si="70"/>
        <v>4.0202017957260807</v>
      </c>
      <c r="U230" s="1199">
        <f t="shared" si="70"/>
        <v>20.101008978630404</v>
      </c>
      <c r="V230" s="1199">
        <f t="shared" si="70"/>
        <v>0</v>
      </c>
      <c r="W230" s="1200">
        <f t="shared" si="70"/>
        <v>1.2060605387178243</v>
      </c>
    </row>
    <row r="231" spans="1:23">
      <c r="A231" s="123">
        <f>'Input data'!A131</f>
        <v>2031</v>
      </c>
      <c r="B231" s="1208">
        <f>'Recycling - Case 3'!AI111</f>
        <v>6437.6604656145792</v>
      </c>
      <c r="C231" s="1209">
        <f t="shared" si="75"/>
        <v>0.5</v>
      </c>
      <c r="D231" s="1209">
        <f t="shared" si="75"/>
        <v>0.5</v>
      </c>
      <c r="E231" s="53">
        <v>0</v>
      </c>
      <c r="F231" s="53">
        <v>0</v>
      </c>
      <c r="G231" s="776">
        <f t="shared" si="72"/>
        <v>2.5750641862458319</v>
      </c>
      <c r="H231" s="519">
        <f t="shared" si="73"/>
        <v>12.875320931229158</v>
      </c>
      <c r="I231" s="53"/>
      <c r="J231" s="776">
        <f t="shared" si="74"/>
        <v>0.77251925587374948</v>
      </c>
      <c r="K231" s="1210">
        <f>'Recycling - Case 3'!Z151</f>
        <v>3681.1215820084799</v>
      </c>
      <c r="L231" s="1209">
        <f t="shared" si="76"/>
        <v>0.5</v>
      </c>
      <c r="M231" s="1209">
        <f t="shared" si="76"/>
        <v>0.5</v>
      </c>
      <c r="N231" s="53">
        <f t="shared" si="66"/>
        <v>0</v>
      </c>
      <c r="O231" s="53">
        <f t="shared" si="66"/>
        <v>0</v>
      </c>
      <c r="P231" s="776">
        <f t="shared" si="67"/>
        <v>1.4724486328033921</v>
      </c>
      <c r="Q231" s="519">
        <f t="shared" si="68"/>
        <v>7.3622431640169594</v>
      </c>
      <c r="R231" s="53"/>
      <c r="S231" s="1211">
        <f t="shared" si="69"/>
        <v>0.44173458984101754</v>
      </c>
      <c r="T231" s="1198">
        <f t="shared" si="70"/>
        <v>4.0475128190492242</v>
      </c>
      <c r="U231" s="1199">
        <f t="shared" si="70"/>
        <v>20.237564095246118</v>
      </c>
      <c r="V231" s="1199">
        <f t="shared" si="70"/>
        <v>0</v>
      </c>
      <c r="W231" s="1200">
        <f t="shared" si="70"/>
        <v>1.2142538457147669</v>
      </c>
    </row>
    <row r="232" spans="1:23">
      <c r="A232" s="123">
        <f>'Input data'!A132</f>
        <v>2032</v>
      </c>
      <c r="B232" s="1208">
        <f>'Recycling - Case 3'!AI112</f>
        <v>6437.6604656145792</v>
      </c>
      <c r="C232" s="1209">
        <f t="shared" si="75"/>
        <v>0.5</v>
      </c>
      <c r="D232" s="1209">
        <f t="shared" si="75"/>
        <v>0.5</v>
      </c>
      <c r="E232" s="53">
        <v>0</v>
      </c>
      <c r="F232" s="53">
        <v>0</v>
      </c>
      <c r="G232" s="776">
        <f t="shared" si="72"/>
        <v>2.5750641862458319</v>
      </c>
      <c r="H232" s="519">
        <f t="shared" si="73"/>
        <v>12.875320931229158</v>
      </c>
      <c r="I232" s="53"/>
      <c r="J232" s="776">
        <f t="shared" si="74"/>
        <v>0.77251925587374948</v>
      </c>
      <c r="K232" s="1210">
        <f>'Recycling - Case 3'!Z152</f>
        <v>3761.3857443265993</v>
      </c>
      <c r="L232" s="1209">
        <f t="shared" si="76"/>
        <v>0.5</v>
      </c>
      <c r="M232" s="1209">
        <f t="shared" si="76"/>
        <v>0.5</v>
      </c>
      <c r="N232" s="53">
        <f t="shared" si="66"/>
        <v>0</v>
      </c>
      <c r="O232" s="53">
        <f t="shared" si="66"/>
        <v>0</v>
      </c>
      <c r="P232" s="776">
        <f t="shared" si="67"/>
        <v>1.5045542977306396</v>
      </c>
      <c r="Q232" s="519">
        <f t="shared" si="68"/>
        <v>7.5227714886531984</v>
      </c>
      <c r="R232" s="53"/>
      <c r="S232" s="1211">
        <f t="shared" si="69"/>
        <v>0.45136628931919187</v>
      </c>
      <c r="T232" s="1198">
        <f t="shared" si="70"/>
        <v>4.0796184839764713</v>
      </c>
      <c r="U232" s="1199">
        <f t="shared" si="70"/>
        <v>20.398092419882357</v>
      </c>
      <c r="V232" s="1199">
        <f t="shared" si="70"/>
        <v>0</v>
      </c>
      <c r="W232" s="1200">
        <f t="shared" si="70"/>
        <v>1.2238855451929413</v>
      </c>
    </row>
    <row r="233" spans="1:23">
      <c r="A233" s="123">
        <f>'Input data'!A133</f>
        <v>2033</v>
      </c>
      <c r="B233" s="1208">
        <f>'Recycling - Case 3'!AI113</f>
        <v>6437.6604656145792</v>
      </c>
      <c r="C233" s="1209">
        <f t="shared" si="75"/>
        <v>0.5</v>
      </c>
      <c r="D233" s="1209">
        <f t="shared" si="75"/>
        <v>0.5</v>
      </c>
      <c r="E233" s="53">
        <v>0</v>
      </c>
      <c r="F233" s="53">
        <v>0</v>
      </c>
      <c r="G233" s="776">
        <f t="shared" si="72"/>
        <v>2.5750641862458319</v>
      </c>
      <c r="H233" s="519">
        <f t="shared" si="73"/>
        <v>12.875320931229158</v>
      </c>
      <c r="I233" s="53"/>
      <c r="J233" s="776">
        <f t="shared" si="74"/>
        <v>0.77251925587374948</v>
      </c>
      <c r="K233" s="1210">
        <f>'Recycling - Case 3'!Z153</f>
        <v>3848.0219164089949</v>
      </c>
      <c r="L233" s="1209">
        <f t="shared" si="76"/>
        <v>0.5</v>
      </c>
      <c r="M233" s="1209">
        <f t="shared" si="76"/>
        <v>0.5</v>
      </c>
      <c r="N233" s="53">
        <f t="shared" si="66"/>
        <v>0</v>
      </c>
      <c r="O233" s="53">
        <f t="shared" si="66"/>
        <v>0</v>
      </c>
      <c r="P233" s="776">
        <f t="shared" si="67"/>
        <v>1.5392087665635981</v>
      </c>
      <c r="Q233" s="519">
        <f t="shared" si="68"/>
        <v>7.6960438328179901</v>
      </c>
      <c r="R233" s="53"/>
      <c r="S233" s="1211">
        <f t="shared" si="69"/>
        <v>0.46176262996907941</v>
      </c>
      <c r="T233" s="1198">
        <f t="shared" si="70"/>
        <v>4.1142729528094302</v>
      </c>
      <c r="U233" s="1199">
        <f t="shared" si="70"/>
        <v>20.571364764047146</v>
      </c>
      <c r="V233" s="1199">
        <f t="shared" si="70"/>
        <v>0</v>
      </c>
      <c r="W233" s="1200">
        <f t="shared" si="70"/>
        <v>1.2342818858428288</v>
      </c>
    </row>
    <row r="234" spans="1:23">
      <c r="A234" s="123">
        <f>'Input data'!A134</f>
        <v>2034</v>
      </c>
      <c r="B234" s="1208">
        <f>'Recycling - Case 3'!AI114</f>
        <v>6437.6604656145792</v>
      </c>
      <c r="C234" s="1209">
        <f t="shared" si="75"/>
        <v>0.5</v>
      </c>
      <c r="D234" s="1209">
        <f t="shared" si="75"/>
        <v>0.5</v>
      </c>
      <c r="E234" s="53">
        <v>0</v>
      </c>
      <c r="F234" s="53">
        <v>0</v>
      </c>
      <c r="G234" s="776">
        <f t="shared" si="72"/>
        <v>2.5750641862458319</v>
      </c>
      <c r="H234" s="519">
        <f t="shared" si="73"/>
        <v>12.875320931229158</v>
      </c>
      <c r="I234" s="53"/>
      <c r="J234" s="776">
        <f t="shared" si="74"/>
        <v>0.77251925587374948</v>
      </c>
      <c r="K234" s="1210">
        <f>'Recycling - Case 3'!Z154</f>
        <v>3949.1309735819841</v>
      </c>
      <c r="L234" s="1209">
        <f t="shared" si="76"/>
        <v>0.5</v>
      </c>
      <c r="M234" s="1209">
        <f t="shared" si="76"/>
        <v>0.5</v>
      </c>
      <c r="N234" s="53">
        <f t="shared" ref="N234:O249" si="77">N96</f>
        <v>0</v>
      </c>
      <c r="O234" s="53">
        <f t="shared" si="77"/>
        <v>0</v>
      </c>
      <c r="P234" s="776">
        <f t="shared" si="67"/>
        <v>1.5796523894327938</v>
      </c>
      <c r="Q234" s="519">
        <f t="shared" si="68"/>
        <v>7.8982619471639683</v>
      </c>
      <c r="R234" s="53"/>
      <c r="S234" s="1211">
        <f t="shared" si="69"/>
        <v>0.47389571682983805</v>
      </c>
      <c r="T234" s="1198">
        <f t="shared" si="70"/>
        <v>4.1547165756786253</v>
      </c>
      <c r="U234" s="1199">
        <f t="shared" si="70"/>
        <v>20.773582878393128</v>
      </c>
      <c r="V234" s="1199">
        <f t="shared" si="70"/>
        <v>0</v>
      </c>
      <c r="W234" s="1200">
        <f t="shared" si="70"/>
        <v>1.2464149727035876</v>
      </c>
    </row>
    <row r="235" spans="1:23">
      <c r="A235" s="123">
        <f>'Input data'!A135</f>
        <v>2035</v>
      </c>
      <c r="B235" s="1208">
        <f>'Recycling - Case 3'!AI115</f>
        <v>6437.6604656145792</v>
      </c>
      <c r="C235" s="1209">
        <f t="shared" si="75"/>
        <v>0.5</v>
      </c>
      <c r="D235" s="1209">
        <f t="shared" si="75"/>
        <v>0.5</v>
      </c>
      <c r="E235" s="53">
        <v>0</v>
      </c>
      <c r="F235" s="53">
        <v>0</v>
      </c>
      <c r="G235" s="776">
        <f t="shared" si="72"/>
        <v>2.5750641862458319</v>
      </c>
      <c r="H235" s="519">
        <f t="shared" si="73"/>
        <v>12.875320931229158</v>
      </c>
      <c r="I235" s="53"/>
      <c r="J235" s="776">
        <f t="shared" si="74"/>
        <v>0.77251925587374948</v>
      </c>
      <c r="K235" s="1210">
        <f>'Recycling - Case 3'!Z155</f>
        <v>4030.6704350808041</v>
      </c>
      <c r="L235" s="1209">
        <f t="shared" si="76"/>
        <v>0.5</v>
      </c>
      <c r="M235" s="1209">
        <f t="shared" si="76"/>
        <v>0.5</v>
      </c>
      <c r="N235" s="53">
        <f t="shared" si="77"/>
        <v>0</v>
      </c>
      <c r="O235" s="53">
        <f t="shared" si="77"/>
        <v>0</v>
      </c>
      <c r="P235" s="776">
        <f t="shared" si="67"/>
        <v>1.6122681740323217</v>
      </c>
      <c r="Q235" s="519">
        <f t="shared" si="68"/>
        <v>8.0613408701616081</v>
      </c>
      <c r="R235" s="53"/>
      <c r="S235" s="1211">
        <f t="shared" si="69"/>
        <v>0.48368045220969647</v>
      </c>
      <c r="T235" s="1198">
        <f t="shared" si="70"/>
        <v>4.1873323602781536</v>
      </c>
      <c r="U235" s="1199">
        <f t="shared" si="70"/>
        <v>20.936661801390766</v>
      </c>
      <c r="V235" s="1199">
        <f t="shared" si="70"/>
        <v>0</v>
      </c>
      <c r="W235" s="1200">
        <f t="shared" si="70"/>
        <v>1.2561997080834459</v>
      </c>
    </row>
    <row r="236" spans="1:23">
      <c r="A236" s="123">
        <f>'Input data'!A136</f>
        <v>2036</v>
      </c>
      <c r="B236" s="1208">
        <f>'Recycling - Case 3'!AI116</f>
        <v>6437.6604656145792</v>
      </c>
      <c r="C236" s="1209">
        <f t="shared" si="75"/>
        <v>0.5</v>
      </c>
      <c r="D236" s="1209">
        <f t="shared" si="75"/>
        <v>0.5</v>
      </c>
      <c r="E236" s="53">
        <v>0</v>
      </c>
      <c r="F236" s="53">
        <v>0</v>
      </c>
      <c r="G236" s="776">
        <f t="shared" si="72"/>
        <v>2.5750641862458319</v>
      </c>
      <c r="H236" s="519">
        <f t="shared" si="73"/>
        <v>12.875320931229158</v>
      </c>
      <c r="I236" s="53"/>
      <c r="J236" s="776">
        <f t="shared" si="74"/>
        <v>0.77251925587374948</v>
      </c>
      <c r="K236" s="1210">
        <f>'Recycling - Case 3'!Z156</f>
        <v>4109.6267789017866</v>
      </c>
      <c r="L236" s="1209">
        <f t="shared" si="76"/>
        <v>0.5</v>
      </c>
      <c r="M236" s="1209">
        <f t="shared" si="76"/>
        <v>0.5</v>
      </c>
      <c r="N236" s="53">
        <f t="shared" si="77"/>
        <v>0</v>
      </c>
      <c r="O236" s="53">
        <f t="shared" si="77"/>
        <v>0</v>
      </c>
      <c r="P236" s="776">
        <f t="shared" si="67"/>
        <v>1.6438507115607146</v>
      </c>
      <c r="Q236" s="519">
        <f t="shared" si="68"/>
        <v>8.2192535578035724</v>
      </c>
      <c r="R236" s="53"/>
      <c r="S236" s="1211">
        <f t="shared" si="69"/>
        <v>0.49315521346821434</v>
      </c>
      <c r="T236" s="1198">
        <f t="shared" si="70"/>
        <v>4.2189148978065463</v>
      </c>
      <c r="U236" s="1199">
        <f t="shared" si="70"/>
        <v>21.09457448903273</v>
      </c>
      <c r="V236" s="1199">
        <f t="shared" si="70"/>
        <v>0</v>
      </c>
      <c r="W236" s="1200">
        <f t="shared" si="70"/>
        <v>1.2656744693419637</v>
      </c>
    </row>
    <row r="237" spans="1:23">
      <c r="A237" s="123">
        <f>'Input data'!A137</f>
        <v>2037</v>
      </c>
      <c r="B237" s="1208">
        <f>'Recycling - Case 3'!AI117</f>
        <v>6437.6604656145792</v>
      </c>
      <c r="C237" s="1209">
        <f t="shared" si="75"/>
        <v>0.5</v>
      </c>
      <c r="D237" s="1209">
        <f t="shared" si="75"/>
        <v>0.5</v>
      </c>
      <c r="E237" s="53">
        <v>0</v>
      </c>
      <c r="F237" s="53">
        <v>0</v>
      </c>
      <c r="G237" s="776">
        <f t="shared" si="72"/>
        <v>2.5750641862458319</v>
      </c>
      <c r="H237" s="519">
        <f t="shared" si="73"/>
        <v>12.875320931229158</v>
      </c>
      <c r="I237" s="53"/>
      <c r="J237" s="776">
        <f t="shared" si="74"/>
        <v>0.77251925587374948</v>
      </c>
      <c r="K237" s="1210">
        <f>'Recycling - Case 3'!Z157</f>
        <v>4197.8517712529874</v>
      </c>
      <c r="L237" s="1209">
        <f t="shared" si="76"/>
        <v>0.5</v>
      </c>
      <c r="M237" s="1209">
        <f t="shared" si="76"/>
        <v>0.5</v>
      </c>
      <c r="N237" s="53">
        <f t="shared" si="77"/>
        <v>0</v>
      </c>
      <c r="O237" s="53">
        <f t="shared" si="77"/>
        <v>0</v>
      </c>
      <c r="P237" s="776">
        <f t="shared" si="67"/>
        <v>1.6791407085011951</v>
      </c>
      <c r="Q237" s="519">
        <f t="shared" si="68"/>
        <v>8.3957035425059754</v>
      </c>
      <c r="R237" s="53"/>
      <c r="S237" s="1211">
        <f t="shared" si="69"/>
        <v>0.50374221255035845</v>
      </c>
      <c r="T237" s="1198">
        <f t="shared" si="70"/>
        <v>4.2542048947470272</v>
      </c>
      <c r="U237" s="1199">
        <f t="shared" si="70"/>
        <v>21.271024473735132</v>
      </c>
      <c r="V237" s="1199">
        <f t="shared" si="70"/>
        <v>0</v>
      </c>
      <c r="W237" s="1200">
        <f t="shared" si="70"/>
        <v>1.2762614684241078</v>
      </c>
    </row>
    <row r="238" spans="1:23">
      <c r="A238" s="123">
        <f>'Input data'!A138</f>
        <v>2038</v>
      </c>
      <c r="B238" s="1208">
        <f>'Recycling - Case 3'!AI118</f>
        <v>6437.6604656145792</v>
      </c>
      <c r="C238" s="1209">
        <f t="shared" si="75"/>
        <v>0.5</v>
      </c>
      <c r="D238" s="1209">
        <f t="shared" si="75"/>
        <v>0.5</v>
      </c>
      <c r="E238" s="53">
        <v>0</v>
      </c>
      <c r="F238" s="53">
        <v>0</v>
      </c>
      <c r="G238" s="776">
        <f t="shared" si="72"/>
        <v>2.5750641862458319</v>
      </c>
      <c r="H238" s="519">
        <f t="shared" si="73"/>
        <v>12.875320931229158</v>
      </c>
      <c r="I238" s="53"/>
      <c r="J238" s="776">
        <f t="shared" si="74"/>
        <v>0.77251925587374948</v>
      </c>
      <c r="K238" s="1210">
        <f>'Recycling - Case 3'!Z158</f>
        <v>4285.4228841512158</v>
      </c>
      <c r="L238" s="1209">
        <f t="shared" si="76"/>
        <v>0.5</v>
      </c>
      <c r="M238" s="1209">
        <f t="shared" si="76"/>
        <v>0.5</v>
      </c>
      <c r="N238" s="53">
        <f t="shared" si="77"/>
        <v>0</v>
      </c>
      <c r="O238" s="53">
        <f t="shared" si="77"/>
        <v>0</v>
      </c>
      <c r="P238" s="776">
        <f t="shared" si="67"/>
        <v>1.7141691536604864</v>
      </c>
      <c r="Q238" s="519">
        <f t="shared" si="68"/>
        <v>8.5708457683024317</v>
      </c>
      <c r="R238" s="53"/>
      <c r="S238" s="1211">
        <f t="shared" si="69"/>
        <v>0.51425074609814592</v>
      </c>
      <c r="T238" s="1198">
        <f t="shared" si="70"/>
        <v>4.2892333399063185</v>
      </c>
      <c r="U238" s="1199">
        <f t="shared" si="70"/>
        <v>21.446166699531588</v>
      </c>
      <c r="V238" s="1199">
        <f t="shared" si="70"/>
        <v>0</v>
      </c>
      <c r="W238" s="1200">
        <f t="shared" si="70"/>
        <v>1.2867700019718953</v>
      </c>
    </row>
    <row r="239" spans="1:23">
      <c r="A239" s="123">
        <f>'Input data'!A139</f>
        <v>2039</v>
      </c>
      <c r="B239" s="1208">
        <f>'Recycling - Case 3'!AI119</f>
        <v>6437.6604656145792</v>
      </c>
      <c r="C239" s="1209">
        <f t="shared" si="75"/>
        <v>0.5</v>
      </c>
      <c r="D239" s="1209">
        <f t="shared" si="75"/>
        <v>0.5</v>
      </c>
      <c r="E239" s="53">
        <v>0</v>
      </c>
      <c r="F239" s="53">
        <v>0</v>
      </c>
      <c r="G239" s="776">
        <f t="shared" si="72"/>
        <v>2.5750641862458319</v>
      </c>
      <c r="H239" s="519">
        <f t="shared" si="73"/>
        <v>12.875320931229158</v>
      </c>
      <c r="I239" s="53"/>
      <c r="J239" s="776">
        <f t="shared" si="74"/>
        <v>0.77251925587374948</v>
      </c>
      <c r="K239" s="1210">
        <f>'Recycling - Case 3'!Z159</f>
        <v>4377.5291467721845</v>
      </c>
      <c r="L239" s="1209">
        <f t="shared" si="76"/>
        <v>0.5</v>
      </c>
      <c r="M239" s="1209">
        <f t="shared" si="76"/>
        <v>0.5</v>
      </c>
      <c r="N239" s="53">
        <f t="shared" si="77"/>
        <v>0</v>
      </c>
      <c r="O239" s="53">
        <f t="shared" si="77"/>
        <v>0</v>
      </c>
      <c r="P239" s="776">
        <f t="shared" si="67"/>
        <v>1.751011658708874</v>
      </c>
      <c r="Q239" s="519">
        <f t="shared" si="68"/>
        <v>8.7550582935443693</v>
      </c>
      <c r="R239" s="53"/>
      <c r="S239" s="1211">
        <f t="shared" si="69"/>
        <v>0.52530349761266215</v>
      </c>
      <c r="T239" s="1198">
        <f t="shared" si="70"/>
        <v>4.3260758449547057</v>
      </c>
      <c r="U239" s="1199">
        <f t="shared" si="70"/>
        <v>21.630379224773527</v>
      </c>
      <c r="V239" s="1199">
        <f t="shared" si="70"/>
        <v>0</v>
      </c>
      <c r="W239" s="1200">
        <f t="shared" si="70"/>
        <v>1.2978227534864115</v>
      </c>
    </row>
    <row r="240" spans="1:23">
      <c r="A240" s="123">
        <f>'Input data'!A140</f>
        <v>2040</v>
      </c>
      <c r="B240" s="1208">
        <f>'Recycling - Case 3'!AI120</f>
        <v>6437.6604656145792</v>
      </c>
      <c r="C240" s="1209">
        <f t="shared" ref="C240:D250" si="78">C239</f>
        <v>0.5</v>
      </c>
      <c r="D240" s="1209">
        <f t="shared" si="78"/>
        <v>0.5</v>
      </c>
      <c r="E240" s="53">
        <v>0</v>
      </c>
      <c r="F240" s="53">
        <v>0</v>
      </c>
      <c r="G240" s="776">
        <f t="shared" si="72"/>
        <v>2.5750641862458319</v>
      </c>
      <c r="H240" s="519">
        <f t="shared" si="73"/>
        <v>12.875320931229158</v>
      </c>
      <c r="I240" s="53"/>
      <c r="J240" s="776">
        <f t="shared" si="74"/>
        <v>0.77251925587374948</v>
      </c>
      <c r="K240" s="1210">
        <f>'Recycling - Case 3'!Z160</f>
        <v>4470.8013872684305</v>
      </c>
      <c r="L240" s="1209">
        <f t="shared" ref="L240:M250" si="79">L239</f>
        <v>0.5</v>
      </c>
      <c r="M240" s="1209">
        <f t="shared" si="79"/>
        <v>0.5</v>
      </c>
      <c r="N240" s="53">
        <f t="shared" si="77"/>
        <v>0</v>
      </c>
      <c r="O240" s="53">
        <f t="shared" si="77"/>
        <v>0</v>
      </c>
      <c r="P240" s="776">
        <f t="shared" si="67"/>
        <v>1.7883205549073724</v>
      </c>
      <c r="Q240" s="519">
        <f t="shared" si="68"/>
        <v>8.9416027745368609</v>
      </c>
      <c r="R240" s="53"/>
      <c r="S240" s="1211">
        <f t="shared" si="69"/>
        <v>0.53649616647221154</v>
      </c>
      <c r="T240" s="1198">
        <f t="shared" si="70"/>
        <v>4.3633847411532045</v>
      </c>
      <c r="U240" s="1199">
        <f t="shared" si="70"/>
        <v>21.816923705766019</v>
      </c>
      <c r="V240" s="1199">
        <f t="shared" si="70"/>
        <v>0</v>
      </c>
      <c r="W240" s="1200">
        <f t="shared" si="70"/>
        <v>1.3090154223459609</v>
      </c>
    </row>
    <row r="241" spans="1:23">
      <c r="A241" s="123">
        <f>'Input data'!A141</f>
        <v>2041</v>
      </c>
      <c r="B241" s="1208">
        <f>'Recycling - Case 3'!AI121</f>
        <v>6437.6604656145792</v>
      </c>
      <c r="C241" s="1209">
        <f t="shared" si="78"/>
        <v>0.5</v>
      </c>
      <c r="D241" s="1209">
        <f t="shared" si="78"/>
        <v>0.5</v>
      </c>
      <c r="E241" s="53">
        <v>0</v>
      </c>
      <c r="F241" s="53">
        <v>0</v>
      </c>
      <c r="G241" s="776">
        <f t="shared" si="72"/>
        <v>2.5750641862458319</v>
      </c>
      <c r="H241" s="519">
        <f t="shared" si="73"/>
        <v>12.875320931229158</v>
      </c>
      <c r="I241" s="53"/>
      <c r="J241" s="776">
        <f t="shared" si="74"/>
        <v>0.77251925587374948</v>
      </c>
      <c r="K241" s="1210">
        <f>'Recycling - Case 3'!Z161</f>
        <v>4573.4101876873783</v>
      </c>
      <c r="L241" s="1209">
        <f t="shared" si="79"/>
        <v>0.5</v>
      </c>
      <c r="M241" s="1209">
        <f t="shared" si="79"/>
        <v>0.5</v>
      </c>
      <c r="N241" s="53">
        <f t="shared" si="77"/>
        <v>0</v>
      </c>
      <c r="O241" s="53">
        <f t="shared" si="77"/>
        <v>0</v>
      </c>
      <c r="P241" s="776">
        <f t="shared" si="67"/>
        <v>1.8293640750749514</v>
      </c>
      <c r="Q241" s="519">
        <f t="shared" si="68"/>
        <v>9.146820375374757</v>
      </c>
      <c r="R241" s="53"/>
      <c r="S241" s="1211">
        <f t="shared" si="69"/>
        <v>0.54880922252248532</v>
      </c>
      <c r="T241" s="1198">
        <f t="shared" si="70"/>
        <v>4.404428261320783</v>
      </c>
      <c r="U241" s="1199">
        <f t="shared" si="70"/>
        <v>22.022141306603913</v>
      </c>
      <c r="V241" s="1199">
        <f t="shared" si="70"/>
        <v>0</v>
      </c>
      <c r="W241" s="1200">
        <f t="shared" si="70"/>
        <v>1.3213284783962349</v>
      </c>
    </row>
    <row r="242" spans="1:23">
      <c r="A242" s="123">
        <f>'Input data'!A142</f>
        <v>2042</v>
      </c>
      <c r="B242" s="1208">
        <f>'Recycling - Case 3'!AI122</f>
        <v>6437.6604656145792</v>
      </c>
      <c r="C242" s="1209">
        <f t="shared" si="78"/>
        <v>0.5</v>
      </c>
      <c r="D242" s="1209">
        <f t="shared" si="78"/>
        <v>0.5</v>
      </c>
      <c r="E242" s="53">
        <v>0</v>
      </c>
      <c r="F242" s="53">
        <v>0</v>
      </c>
      <c r="G242" s="776">
        <f t="shared" si="72"/>
        <v>2.5750641862458319</v>
      </c>
      <c r="H242" s="519">
        <f t="shared" si="73"/>
        <v>12.875320931229158</v>
      </c>
      <c r="I242" s="53"/>
      <c r="J242" s="776">
        <f t="shared" si="74"/>
        <v>0.77251925587374948</v>
      </c>
      <c r="K242" s="1210">
        <f>'Recycling - Case 3'!Z162</f>
        <v>4673.052237396033</v>
      </c>
      <c r="L242" s="1209">
        <f t="shared" si="79"/>
        <v>0.5</v>
      </c>
      <c r="M242" s="1209">
        <f t="shared" si="79"/>
        <v>0.5</v>
      </c>
      <c r="N242" s="53">
        <f t="shared" si="77"/>
        <v>0</v>
      </c>
      <c r="O242" s="53">
        <f t="shared" si="77"/>
        <v>0</v>
      </c>
      <c r="P242" s="776">
        <f t="shared" si="67"/>
        <v>1.8692208949584133</v>
      </c>
      <c r="Q242" s="519">
        <f t="shared" si="68"/>
        <v>9.3461044747920656</v>
      </c>
      <c r="R242" s="53"/>
      <c r="S242" s="1211">
        <f t="shared" si="69"/>
        <v>0.56076626848752387</v>
      </c>
      <c r="T242" s="1198">
        <f t="shared" si="70"/>
        <v>4.4442850812042449</v>
      </c>
      <c r="U242" s="1199">
        <f t="shared" si="70"/>
        <v>22.221425406021226</v>
      </c>
      <c r="V242" s="1199">
        <f t="shared" si="70"/>
        <v>0</v>
      </c>
      <c r="W242" s="1200">
        <f t="shared" si="70"/>
        <v>1.3332855243612733</v>
      </c>
    </row>
    <row r="243" spans="1:23">
      <c r="A243" s="123">
        <f>'Input data'!A143</f>
        <v>2043</v>
      </c>
      <c r="B243" s="1208">
        <f>'Recycling - Case 3'!AI123</f>
        <v>6437.6604656145792</v>
      </c>
      <c r="C243" s="1209">
        <f t="shared" si="78"/>
        <v>0.5</v>
      </c>
      <c r="D243" s="1209">
        <f t="shared" si="78"/>
        <v>0.5</v>
      </c>
      <c r="E243" s="53">
        <v>0</v>
      </c>
      <c r="F243" s="53">
        <v>0</v>
      </c>
      <c r="G243" s="776">
        <f t="shared" si="72"/>
        <v>2.5750641862458319</v>
      </c>
      <c r="H243" s="519">
        <f t="shared" si="73"/>
        <v>12.875320931229158</v>
      </c>
      <c r="I243" s="53"/>
      <c r="J243" s="776">
        <f t="shared" si="74"/>
        <v>0.77251925587374948</v>
      </c>
      <c r="K243" s="1210">
        <f>'Recycling - Case 3'!Z163</f>
        <v>4774.8796293139649</v>
      </c>
      <c r="L243" s="1209">
        <f t="shared" si="79"/>
        <v>0.5</v>
      </c>
      <c r="M243" s="1209">
        <f t="shared" si="79"/>
        <v>0.5</v>
      </c>
      <c r="N243" s="53">
        <f t="shared" si="77"/>
        <v>0</v>
      </c>
      <c r="O243" s="53">
        <f t="shared" si="77"/>
        <v>0</v>
      </c>
      <c r="P243" s="776">
        <f t="shared" si="67"/>
        <v>1.909951851725586</v>
      </c>
      <c r="Q243" s="519">
        <f t="shared" si="68"/>
        <v>9.5497592586279296</v>
      </c>
      <c r="R243" s="53"/>
      <c r="S243" s="1211">
        <f t="shared" si="69"/>
        <v>0.57298555551767572</v>
      </c>
      <c r="T243" s="1198">
        <f t="shared" si="70"/>
        <v>4.4850160379714179</v>
      </c>
      <c r="U243" s="1199">
        <f t="shared" si="70"/>
        <v>22.425080189857088</v>
      </c>
      <c r="V243" s="1199">
        <f t="shared" si="70"/>
        <v>0</v>
      </c>
      <c r="W243" s="1200">
        <f t="shared" si="70"/>
        <v>1.3455048113914252</v>
      </c>
    </row>
    <row r="244" spans="1:23">
      <c r="A244" s="123">
        <f>'Input data'!A144</f>
        <v>2044</v>
      </c>
      <c r="B244" s="1208">
        <f>'Recycling - Case 3'!AI124</f>
        <v>6437.6604656145792</v>
      </c>
      <c r="C244" s="1209">
        <f t="shared" si="78"/>
        <v>0.5</v>
      </c>
      <c r="D244" s="1209">
        <f t="shared" si="78"/>
        <v>0.5</v>
      </c>
      <c r="E244" s="53">
        <v>0</v>
      </c>
      <c r="F244" s="53">
        <v>0</v>
      </c>
      <c r="G244" s="776">
        <f t="shared" si="72"/>
        <v>2.5750641862458319</v>
      </c>
      <c r="H244" s="519">
        <f t="shared" si="73"/>
        <v>12.875320931229158</v>
      </c>
      <c r="I244" s="53"/>
      <c r="J244" s="776">
        <f t="shared" si="74"/>
        <v>0.77251925587374948</v>
      </c>
      <c r="K244" s="1210">
        <f>'Recycling - Case 3'!Z164</f>
        <v>4880.2790721144393</v>
      </c>
      <c r="L244" s="1209">
        <f t="shared" si="79"/>
        <v>0.5</v>
      </c>
      <c r="M244" s="1209">
        <f t="shared" si="79"/>
        <v>0.5</v>
      </c>
      <c r="N244" s="53">
        <f t="shared" si="77"/>
        <v>0</v>
      </c>
      <c r="O244" s="53">
        <f t="shared" si="77"/>
        <v>0</v>
      </c>
      <c r="P244" s="776">
        <f t="shared" si="67"/>
        <v>1.9521116288457758</v>
      </c>
      <c r="Q244" s="519">
        <f t="shared" si="68"/>
        <v>9.7605581442288791</v>
      </c>
      <c r="R244" s="53"/>
      <c r="S244" s="1211">
        <f t="shared" si="69"/>
        <v>0.58563348865373266</v>
      </c>
      <c r="T244" s="1198">
        <f t="shared" si="70"/>
        <v>4.5271758150916082</v>
      </c>
      <c r="U244" s="1199">
        <f t="shared" si="70"/>
        <v>22.635879075458035</v>
      </c>
      <c r="V244" s="1199">
        <f t="shared" si="70"/>
        <v>0</v>
      </c>
      <c r="W244" s="1200">
        <f t="shared" si="70"/>
        <v>1.3581527445274821</v>
      </c>
    </row>
    <row r="245" spans="1:23">
      <c r="A245" s="123">
        <f>'Input data'!A145</f>
        <v>2045</v>
      </c>
      <c r="B245" s="1208">
        <f>'Recycling - Case 3'!AI125</f>
        <v>6437.6604656145792</v>
      </c>
      <c r="C245" s="1209">
        <f t="shared" si="78"/>
        <v>0.5</v>
      </c>
      <c r="D245" s="1209">
        <f t="shared" si="78"/>
        <v>0.5</v>
      </c>
      <c r="E245" s="53">
        <v>0</v>
      </c>
      <c r="F245" s="53">
        <v>0</v>
      </c>
      <c r="G245" s="776">
        <f t="shared" si="72"/>
        <v>2.5750641862458319</v>
      </c>
      <c r="H245" s="519">
        <f t="shared" si="73"/>
        <v>12.875320931229158</v>
      </c>
      <c r="I245" s="53"/>
      <c r="J245" s="776">
        <f t="shared" si="74"/>
        <v>0.77251925587374948</v>
      </c>
      <c r="K245" s="1210">
        <f>'Recycling - Case 3'!Z165</f>
        <v>4989.8209734474995</v>
      </c>
      <c r="L245" s="1209">
        <f t="shared" si="79"/>
        <v>0.5</v>
      </c>
      <c r="M245" s="1209">
        <f t="shared" si="79"/>
        <v>0.5</v>
      </c>
      <c r="N245" s="53">
        <f t="shared" si="77"/>
        <v>0</v>
      </c>
      <c r="O245" s="53">
        <f t="shared" si="77"/>
        <v>0</v>
      </c>
      <c r="P245" s="776">
        <f t="shared" si="67"/>
        <v>1.9959283893789999</v>
      </c>
      <c r="Q245" s="519">
        <f t="shared" si="68"/>
        <v>9.9796419468949988</v>
      </c>
      <c r="R245" s="53"/>
      <c r="S245" s="1211">
        <f t="shared" si="69"/>
        <v>0.59877851681369987</v>
      </c>
      <c r="T245" s="1198">
        <f t="shared" si="70"/>
        <v>4.5709925756248317</v>
      </c>
      <c r="U245" s="1199">
        <f t="shared" si="70"/>
        <v>22.854962878124155</v>
      </c>
      <c r="V245" s="1199">
        <f t="shared" si="70"/>
        <v>0</v>
      </c>
      <c r="W245" s="1200">
        <f t="shared" si="70"/>
        <v>1.3712977726874493</v>
      </c>
    </row>
    <row r="246" spans="1:23">
      <c r="A246" s="123">
        <f>'Input data'!A146</f>
        <v>2046</v>
      </c>
      <c r="B246" s="1208">
        <f>'Recycling - Case 3'!AI126</f>
        <v>6437.6604656145792</v>
      </c>
      <c r="C246" s="1209">
        <f t="shared" si="78"/>
        <v>0.5</v>
      </c>
      <c r="D246" s="1209">
        <f t="shared" si="78"/>
        <v>0.5</v>
      </c>
      <c r="E246" s="53">
        <v>0</v>
      </c>
      <c r="F246" s="53">
        <v>0</v>
      </c>
      <c r="G246" s="776">
        <f t="shared" si="72"/>
        <v>2.5750641862458319</v>
      </c>
      <c r="H246" s="519">
        <f t="shared" si="73"/>
        <v>12.875320931229158</v>
      </c>
      <c r="I246" s="53"/>
      <c r="J246" s="776">
        <f t="shared" si="74"/>
        <v>0.77251925587374948</v>
      </c>
      <c r="K246" s="1210">
        <f>'Recycling - Case 3'!Z166</f>
        <v>5111.6211020205074</v>
      </c>
      <c r="L246" s="1209">
        <f t="shared" si="79"/>
        <v>0.5</v>
      </c>
      <c r="M246" s="1209">
        <f t="shared" si="79"/>
        <v>0.5</v>
      </c>
      <c r="N246" s="53">
        <f t="shared" si="77"/>
        <v>0</v>
      </c>
      <c r="O246" s="53">
        <f t="shared" si="77"/>
        <v>0</v>
      </c>
      <c r="P246" s="776">
        <f t="shared" si="67"/>
        <v>2.0446484408082033</v>
      </c>
      <c r="Q246" s="519">
        <f t="shared" si="68"/>
        <v>10.223242204041014</v>
      </c>
      <c r="R246" s="53"/>
      <c r="S246" s="1211">
        <f t="shared" si="69"/>
        <v>0.61339453224246088</v>
      </c>
      <c r="T246" s="1198">
        <f t="shared" si="70"/>
        <v>4.6197126270540352</v>
      </c>
      <c r="U246" s="1199">
        <f t="shared" si="70"/>
        <v>23.098563135270172</v>
      </c>
      <c r="V246" s="1199">
        <f t="shared" si="70"/>
        <v>0</v>
      </c>
      <c r="W246" s="1200">
        <f t="shared" si="70"/>
        <v>1.3859137881162105</v>
      </c>
    </row>
    <row r="247" spans="1:23">
      <c r="A247" s="123">
        <f>'Input data'!A147</f>
        <v>2047</v>
      </c>
      <c r="B247" s="1208">
        <f>'Recycling - Case 3'!AI127</f>
        <v>6437.6604656145792</v>
      </c>
      <c r="C247" s="1209">
        <f t="shared" si="78"/>
        <v>0.5</v>
      </c>
      <c r="D247" s="1209">
        <f t="shared" si="78"/>
        <v>0.5</v>
      </c>
      <c r="E247" s="53">
        <v>0</v>
      </c>
      <c r="F247" s="53">
        <v>0</v>
      </c>
      <c r="G247" s="776">
        <f t="shared" si="72"/>
        <v>2.5750641862458319</v>
      </c>
      <c r="H247" s="519">
        <f t="shared" si="73"/>
        <v>12.875320931229158</v>
      </c>
      <c r="I247" s="53"/>
      <c r="J247" s="776">
        <f t="shared" si="74"/>
        <v>0.77251925587374948</v>
      </c>
      <c r="K247" s="1210">
        <f>'Recycling - Case 3'!Z167</f>
        <v>5199.0583729432956</v>
      </c>
      <c r="L247" s="1209">
        <f t="shared" si="79"/>
        <v>0.5</v>
      </c>
      <c r="M247" s="1209">
        <f t="shared" si="79"/>
        <v>0.5</v>
      </c>
      <c r="N247" s="53">
        <f t="shared" si="77"/>
        <v>0</v>
      </c>
      <c r="O247" s="53">
        <f t="shared" si="77"/>
        <v>0</v>
      </c>
      <c r="P247" s="776">
        <f t="shared" si="67"/>
        <v>2.0796233491773184</v>
      </c>
      <c r="Q247" s="519">
        <f t="shared" si="68"/>
        <v>10.398116745886592</v>
      </c>
      <c r="R247" s="53"/>
      <c r="S247" s="1211">
        <f t="shared" si="69"/>
        <v>0.62388700475319547</v>
      </c>
      <c r="T247" s="1198">
        <f t="shared" si="70"/>
        <v>4.6546875354231503</v>
      </c>
      <c r="U247" s="1199">
        <f t="shared" si="70"/>
        <v>23.273437677115751</v>
      </c>
      <c r="V247" s="1199">
        <f t="shared" si="70"/>
        <v>0</v>
      </c>
      <c r="W247" s="1200">
        <f t="shared" si="70"/>
        <v>1.396406260626945</v>
      </c>
    </row>
    <row r="248" spans="1:23">
      <c r="A248" s="123">
        <f>'Input data'!A148</f>
        <v>2048</v>
      </c>
      <c r="B248" s="1208">
        <f>'Recycling - Case 3'!AI128</f>
        <v>6437.6604656145792</v>
      </c>
      <c r="C248" s="1209">
        <f t="shared" si="78"/>
        <v>0.5</v>
      </c>
      <c r="D248" s="1209">
        <f t="shared" si="78"/>
        <v>0.5</v>
      </c>
      <c r="E248" s="53">
        <v>0</v>
      </c>
      <c r="F248" s="53">
        <v>0</v>
      </c>
      <c r="G248" s="776">
        <f t="shared" si="72"/>
        <v>2.5750641862458319</v>
      </c>
      <c r="H248" s="519">
        <f t="shared" si="73"/>
        <v>12.875320931229158</v>
      </c>
      <c r="I248" s="53"/>
      <c r="J248" s="776">
        <f t="shared" si="74"/>
        <v>0.77251925587374948</v>
      </c>
      <c r="K248" s="1210">
        <f>'Recycling - Case 3'!Z168</f>
        <v>5289.613511597383</v>
      </c>
      <c r="L248" s="1209">
        <f t="shared" si="79"/>
        <v>0.5</v>
      </c>
      <c r="M248" s="1209">
        <f t="shared" si="79"/>
        <v>0.5</v>
      </c>
      <c r="N248" s="53">
        <f t="shared" si="77"/>
        <v>0</v>
      </c>
      <c r="O248" s="53">
        <f t="shared" si="77"/>
        <v>0</v>
      </c>
      <c r="P248" s="776">
        <f t="shared" si="67"/>
        <v>2.1158454046389532</v>
      </c>
      <c r="Q248" s="519">
        <f t="shared" si="68"/>
        <v>10.579227023194766</v>
      </c>
      <c r="R248" s="53"/>
      <c r="S248" s="1211">
        <f t="shared" si="69"/>
        <v>0.6347536213916859</v>
      </c>
      <c r="T248" s="1198">
        <f t="shared" si="70"/>
        <v>4.6909095908847851</v>
      </c>
      <c r="U248" s="1199">
        <f t="shared" si="70"/>
        <v>23.454547954423923</v>
      </c>
      <c r="V248" s="1199">
        <f t="shared" si="70"/>
        <v>0</v>
      </c>
      <c r="W248" s="1200">
        <f t="shared" si="70"/>
        <v>1.4072728772654353</v>
      </c>
    </row>
    <row r="249" spans="1:23">
      <c r="A249" s="123">
        <f>'Input data'!A149</f>
        <v>2049</v>
      </c>
      <c r="B249" s="1208">
        <f>'Recycling - Case 3'!AI129</f>
        <v>6437.6604656145792</v>
      </c>
      <c r="C249" s="1209">
        <f t="shared" si="78"/>
        <v>0.5</v>
      </c>
      <c r="D249" s="1209">
        <f t="shared" si="78"/>
        <v>0.5</v>
      </c>
      <c r="E249" s="53">
        <v>0</v>
      </c>
      <c r="F249" s="53">
        <v>0</v>
      </c>
      <c r="G249" s="776">
        <f t="shared" si="72"/>
        <v>2.5750641862458319</v>
      </c>
      <c r="H249" s="519">
        <f t="shared" si="73"/>
        <v>12.875320931229158</v>
      </c>
      <c r="I249" s="53"/>
      <c r="J249" s="776">
        <f t="shared" si="74"/>
        <v>0.77251925587374948</v>
      </c>
      <c r="K249" s="1210">
        <f>'Recycling - Case 3'!Z169</f>
        <v>5377.5009175276673</v>
      </c>
      <c r="L249" s="1209">
        <f t="shared" si="79"/>
        <v>0.5</v>
      </c>
      <c r="M249" s="1209">
        <f t="shared" si="79"/>
        <v>0.5</v>
      </c>
      <c r="N249" s="53">
        <f t="shared" si="77"/>
        <v>0</v>
      </c>
      <c r="O249" s="53">
        <f t="shared" si="77"/>
        <v>0</v>
      </c>
      <c r="P249" s="776">
        <f t="shared" si="67"/>
        <v>2.1510003670110667</v>
      </c>
      <c r="Q249" s="519">
        <f t="shared" si="68"/>
        <v>10.755001835055335</v>
      </c>
      <c r="R249" s="53"/>
      <c r="S249" s="1211">
        <f t="shared" si="69"/>
        <v>0.64530011010332011</v>
      </c>
      <c r="T249" s="1198">
        <f t="shared" si="70"/>
        <v>4.726064553256899</v>
      </c>
      <c r="U249" s="1199">
        <f t="shared" si="70"/>
        <v>23.630322766284493</v>
      </c>
      <c r="V249" s="1199">
        <f t="shared" si="70"/>
        <v>0</v>
      </c>
      <c r="W249" s="1200">
        <f t="shared" si="70"/>
        <v>1.4178193659770697</v>
      </c>
    </row>
    <row r="250" spans="1:23" ht="15.75" thickBot="1">
      <c r="A250" s="123">
        <f>'Input data'!A150</f>
        <v>2050</v>
      </c>
      <c r="B250" s="1208">
        <f>'Recycling - Case 3'!AI130</f>
        <v>6437.6604656145792</v>
      </c>
      <c r="C250" s="576">
        <f t="shared" si="78"/>
        <v>0.5</v>
      </c>
      <c r="D250" s="576">
        <f t="shared" si="78"/>
        <v>0.5</v>
      </c>
      <c r="E250" s="58">
        <v>0</v>
      </c>
      <c r="F250" s="58">
        <v>0</v>
      </c>
      <c r="G250" s="1365">
        <f t="shared" si="72"/>
        <v>2.5750641862458319</v>
      </c>
      <c r="H250" s="1102">
        <f t="shared" si="73"/>
        <v>12.875320931229158</v>
      </c>
      <c r="I250" s="58"/>
      <c r="J250" s="1365">
        <f t="shared" si="74"/>
        <v>0.77251925587374948</v>
      </c>
      <c r="K250" s="1210">
        <f>'Recycling - Case 3'!Z170</f>
        <v>5465.916608694276</v>
      </c>
      <c r="L250" s="578">
        <f t="shared" si="79"/>
        <v>0.5</v>
      </c>
      <c r="M250" s="578">
        <f t="shared" si="79"/>
        <v>0.5</v>
      </c>
      <c r="N250" s="1212">
        <f t="shared" ref="N250:O250" si="80">N112</f>
        <v>0</v>
      </c>
      <c r="O250" s="1212">
        <f t="shared" si="80"/>
        <v>0</v>
      </c>
      <c r="P250" s="1213">
        <f t="shared" si="67"/>
        <v>2.1863666434777107</v>
      </c>
      <c r="Q250" s="1144">
        <f t="shared" si="68"/>
        <v>10.931833217388553</v>
      </c>
      <c r="R250" s="1212"/>
      <c r="S250" s="1214">
        <f t="shared" si="69"/>
        <v>0.6559099930433131</v>
      </c>
      <c r="T250" s="1215">
        <f t="shared" si="70"/>
        <v>4.7614308297235421</v>
      </c>
      <c r="U250" s="1216">
        <f t="shared" si="70"/>
        <v>23.807154148617713</v>
      </c>
      <c r="V250" s="1216">
        <f t="shared" si="70"/>
        <v>0</v>
      </c>
      <c r="W250" s="1217">
        <f t="shared" si="70"/>
        <v>1.4284292489170625</v>
      </c>
    </row>
    <row r="251" spans="1:23">
      <c r="A251" s="1362" t="s">
        <v>655</v>
      </c>
      <c r="B251" s="1207"/>
      <c r="C251" s="1218"/>
      <c r="D251" s="1218"/>
      <c r="E251" s="1219"/>
      <c r="F251" s="1219"/>
      <c r="G251" s="1220"/>
      <c r="H251" s="1221"/>
      <c r="I251" s="1222"/>
      <c r="J251" s="1224"/>
      <c r="K251" s="1221"/>
      <c r="L251" s="1218"/>
      <c r="M251" s="1218"/>
      <c r="N251" s="1219"/>
      <c r="O251" s="1219"/>
      <c r="P251" s="1220"/>
      <c r="Q251" s="1221"/>
      <c r="R251" s="1219"/>
      <c r="S251" s="1224"/>
      <c r="T251" s="1194"/>
      <c r="U251" s="1195"/>
      <c r="V251" s="1195"/>
      <c r="W251" s="1196"/>
    </row>
    <row r="252" spans="1:23">
      <c r="A252" s="466">
        <f>'Input data'!A118</f>
        <v>2018</v>
      </c>
      <c r="B252" s="1366">
        <f>'Recycling - Case 3'!AI98</f>
        <v>3707.5235423427162</v>
      </c>
      <c r="C252" s="576">
        <f>($C$256-$C$80)/($A$256-$A$80)+C80</f>
        <v>0.14000000000000001</v>
      </c>
      <c r="D252" s="576">
        <f>1-C252</f>
        <v>0.86</v>
      </c>
      <c r="E252" s="58">
        <v>0</v>
      </c>
      <c r="F252" s="58">
        <v>0</v>
      </c>
      <c r="G252" s="1365">
        <f>C252*$D$5*B252/1000-E252</f>
        <v>0.41524263674238426</v>
      </c>
      <c r="H252" s="1102">
        <f>D252*$D$4*B252/1000-F252</f>
        <v>12.753880985658943</v>
      </c>
      <c r="I252" s="58"/>
      <c r="J252" s="1211">
        <f>D252*$D$7*B252/1000</f>
        <v>0.76523285913953654</v>
      </c>
      <c r="K252" s="1364">
        <f>'Recycling - Case 3'!Z178</f>
        <v>1789.9687605419947</v>
      </c>
      <c r="L252" s="576">
        <f>($L$256-$L$80)/($A$256-$A$80)+L80</f>
        <v>0.18</v>
      </c>
      <c r="M252" s="576">
        <f>1-L252</f>
        <v>0.82000000000000006</v>
      </c>
      <c r="N252" s="58">
        <f t="shared" ref="N252:O267" si="81">N114</f>
        <v>0</v>
      </c>
      <c r="O252" s="58">
        <f t="shared" si="81"/>
        <v>0</v>
      </c>
      <c r="P252" s="1365">
        <f t="shared" ref="P252:P284" si="82">L252*$D$5*K252/1000-N252</f>
        <v>0.25775550151804721</v>
      </c>
      <c r="Q252" s="1102">
        <f t="shared" ref="Q252:Q284" si="83">M252*$D$4*K252/1000-O252</f>
        <v>5.8710975345777436</v>
      </c>
      <c r="R252" s="58"/>
      <c r="S252" s="1211">
        <f t="shared" ref="S252:S284" si="84">M252*$D$7*K252/1000</f>
        <v>0.35226585207466454</v>
      </c>
      <c r="T252" s="1198">
        <f t="shared" ref="T252:W284" si="85">G252+P252</f>
        <v>0.67299813826043153</v>
      </c>
      <c r="U252" s="1613">
        <f t="shared" si="85"/>
        <v>18.624978520236688</v>
      </c>
      <c r="V252" s="1613">
        <f t="shared" si="85"/>
        <v>0</v>
      </c>
      <c r="W252" s="1200">
        <f t="shared" si="85"/>
        <v>1.1174987112142012</v>
      </c>
    </row>
    <row r="253" spans="1:23">
      <c r="A253" s="466">
        <f>'Input data'!A119</f>
        <v>2019</v>
      </c>
      <c r="B253" s="1366">
        <f>'Recycling - Case 3'!AI99</f>
        <v>4010.8720893729233</v>
      </c>
      <c r="C253" s="576">
        <f>($C$256-$C$80)/($A$256-$A$80)+C252</f>
        <v>0.23</v>
      </c>
      <c r="D253" s="576">
        <f t="shared" ref="D253:D284" si="86">1-C253</f>
        <v>0.77</v>
      </c>
      <c r="E253" s="58">
        <v>0</v>
      </c>
      <c r="F253" s="58">
        <v>0</v>
      </c>
      <c r="G253" s="1365">
        <f t="shared" ref="G253:G284" si="87">C253*$D$5*B253/1000-E253</f>
        <v>0.73800046444461798</v>
      </c>
      <c r="H253" s="1102">
        <f t="shared" ref="H253:H284" si="88">D253*$D$4*B253/1000-F253</f>
        <v>12.353486035268604</v>
      </c>
      <c r="I253" s="58"/>
      <c r="J253" s="1211">
        <f t="shared" ref="J253:J284" si="89">D253*$D$7*B253/1000</f>
        <v>0.7412091621161162</v>
      </c>
      <c r="K253" s="1364">
        <f>'Recycling - Case 3'!Z179</f>
        <v>2562.551002317176</v>
      </c>
      <c r="L253" s="576">
        <f>($L$256-$L$80)/($A$256-$A$80)+L252</f>
        <v>0.26</v>
      </c>
      <c r="M253" s="576">
        <f t="shared" ref="M253:M284" si="90">1-L253</f>
        <v>0.74</v>
      </c>
      <c r="N253" s="58">
        <f t="shared" si="81"/>
        <v>0</v>
      </c>
      <c r="O253" s="58">
        <f t="shared" si="81"/>
        <v>0</v>
      </c>
      <c r="P253" s="1365">
        <f t="shared" si="82"/>
        <v>0.53301060848197268</v>
      </c>
      <c r="Q253" s="1102">
        <f t="shared" si="83"/>
        <v>7.5851509668588406</v>
      </c>
      <c r="R253" s="58"/>
      <c r="S253" s="1211">
        <f t="shared" si="84"/>
        <v>0.4551090580115304</v>
      </c>
      <c r="T253" s="1198">
        <f t="shared" si="85"/>
        <v>1.2710110729265907</v>
      </c>
      <c r="U253" s="1613">
        <f t="shared" si="85"/>
        <v>19.938637002127443</v>
      </c>
      <c r="V253" s="1613">
        <f t="shared" si="85"/>
        <v>0</v>
      </c>
      <c r="W253" s="1200">
        <f t="shared" si="85"/>
        <v>1.1963182201276465</v>
      </c>
    </row>
    <row r="254" spans="1:23">
      <c r="A254" s="466">
        <f>'Input data'!A120</f>
        <v>2020</v>
      </c>
      <c r="B254" s="1366">
        <f>'Recycling - Case 3'!AI100</f>
        <v>4617.5691834333375</v>
      </c>
      <c r="C254" s="576">
        <f t="shared" ref="C254:C255" si="91">($C$256-$C$80)/($A$256-$A$80)+C253</f>
        <v>0.32</v>
      </c>
      <c r="D254" s="576">
        <f t="shared" si="86"/>
        <v>0.67999999999999994</v>
      </c>
      <c r="E254" s="58">
        <v>0</v>
      </c>
      <c r="F254" s="58">
        <v>0</v>
      </c>
      <c r="G254" s="1365">
        <f t="shared" si="87"/>
        <v>1.1820977109589343</v>
      </c>
      <c r="H254" s="1102">
        <f t="shared" si="88"/>
        <v>12.559788178938678</v>
      </c>
      <c r="I254" s="58"/>
      <c r="J254" s="1211">
        <f t="shared" si="89"/>
        <v>0.75358729073632058</v>
      </c>
      <c r="K254" s="1364">
        <f>'Recycling - Case 3'!Z180</f>
        <v>2560.6366375303887</v>
      </c>
      <c r="L254" s="576">
        <f t="shared" ref="L254:L255" si="92">($L$256-$L$80)/($A$256-$A$80)+L253</f>
        <v>0.34</v>
      </c>
      <c r="M254" s="576">
        <f t="shared" si="90"/>
        <v>0.65999999999999992</v>
      </c>
      <c r="N254" s="58">
        <f t="shared" si="81"/>
        <v>0</v>
      </c>
      <c r="O254" s="58">
        <f t="shared" si="81"/>
        <v>0</v>
      </c>
      <c r="P254" s="1365">
        <f t="shared" si="82"/>
        <v>0.69649316540826578</v>
      </c>
      <c r="Q254" s="1102">
        <f t="shared" si="83"/>
        <v>6.7600807230802253</v>
      </c>
      <c r="R254" s="58"/>
      <c r="S254" s="1211">
        <f t="shared" si="84"/>
        <v>0.40560484338481351</v>
      </c>
      <c r="T254" s="1198">
        <f t="shared" si="85"/>
        <v>1.8785908763672001</v>
      </c>
      <c r="U254" s="1613">
        <f t="shared" si="85"/>
        <v>19.319868902018904</v>
      </c>
      <c r="V254" s="1613">
        <f t="shared" si="85"/>
        <v>0</v>
      </c>
      <c r="W254" s="1200">
        <f t="shared" si="85"/>
        <v>1.1591921341211342</v>
      </c>
    </row>
    <row r="255" spans="1:23">
      <c r="A255" s="466">
        <f>'Input data'!A121</f>
        <v>2021</v>
      </c>
      <c r="B255" s="1366">
        <f>'Recycling - Case 3'!AI101</f>
        <v>5830.9633715541659</v>
      </c>
      <c r="C255" s="576">
        <f t="shared" si="91"/>
        <v>0.41000000000000003</v>
      </c>
      <c r="D255" s="576">
        <f t="shared" si="86"/>
        <v>0.59</v>
      </c>
      <c r="E255" s="58">
        <v>0</v>
      </c>
      <c r="F255" s="58">
        <v>0</v>
      </c>
      <c r="G255" s="1365">
        <f t="shared" si="87"/>
        <v>1.9125559858697667</v>
      </c>
      <c r="H255" s="1102">
        <f t="shared" si="88"/>
        <v>13.76107355686783</v>
      </c>
      <c r="I255" s="58"/>
      <c r="J255" s="1211">
        <f t="shared" si="89"/>
        <v>0.82566441341206975</v>
      </c>
      <c r="K255" s="1364">
        <f>'Recycling - Case 3'!Z181</f>
        <v>2935.6191232226211</v>
      </c>
      <c r="L255" s="576">
        <f t="shared" si="92"/>
        <v>0.42000000000000004</v>
      </c>
      <c r="M255" s="576">
        <f t="shared" si="90"/>
        <v>0.57999999999999996</v>
      </c>
      <c r="N255" s="58">
        <f t="shared" si="81"/>
        <v>0</v>
      </c>
      <c r="O255" s="58">
        <f t="shared" si="81"/>
        <v>0</v>
      </c>
      <c r="P255" s="1365">
        <f t="shared" si="82"/>
        <v>0.98636802540280089</v>
      </c>
      <c r="Q255" s="1102">
        <f t="shared" si="83"/>
        <v>6.8106363658764799</v>
      </c>
      <c r="R255" s="58"/>
      <c r="S255" s="1211">
        <f t="shared" si="84"/>
        <v>0.40863818195258883</v>
      </c>
      <c r="T255" s="1198">
        <f t="shared" si="85"/>
        <v>2.8989240112725678</v>
      </c>
      <c r="U255" s="1613">
        <f t="shared" si="85"/>
        <v>20.571709922744311</v>
      </c>
      <c r="V255" s="1613">
        <f t="shared" si="85"/>
        <v>0</v>
      </c>
      <c r="W255" s="1200">
        <f t="shared" si="85"/>
        <v>1.2343025953646585</v>
      </c>
    </row>
    <row r="256" spans="1:23">
      <c r="A256" s="466">
        <f>'Input data'!A122</f>
        <v>2022</v>
      </c>
      <c r="B256" s="1366">
        <f>'Recycling - Case 3'!AI102</f>
        <v>6437.6604656145792</v>
      </c>
      <c r="C256" s="576">
        <f>'Recycling - Case 3'!G31</f>
        <v>0.5</v>
      </c>
      <c r="D256" s="576">
        <f t="shared" si="86"/>
        <v>0.5</v>
      </c>
      <c r="E256" s="58">
        <v>0</v>
      </c>
      <c r="F256" s="58">
        <v>0</v>
      </c>
      <c r="G256" s="1365">
        <f t="shared" si="87"/>
        <v>2.5750641862458319</v>
      </c>
      <c r="H256" s="1102">
        <f t="shared" si="88"/>
        <v>12.875320931229158</v>
      </c>
      <c r="I256" s="58"/>
      <c r="J256" s="1211">
        <f t="shared" si="89"/>
        <v>0.77251925587374948</v>
      </c>
      <c r="K256" s="1364">
        <f>'Recycling - Case 3'!Z182</f>
        <v>3145.7858208059524</v>
      </c>
      <c r="L256" s="576">
        <f>'Recycling - Case 3'!G31</f>
        <v>0.5</v>
      </c>
      <c r="M256" s="576">
        <f t="shared" si="90"/>
        <v>0.5</v>
      </c>
      <c r="N256" s="58">
        <f t="shared" si="81"/>
        <v>0</v>
      </c>
      <c r="O256" s="58">
        <f t="shared" si="81"/>
        <v>0</v>
      </c>
      <c r="P256" s="1365">
        <f t="shared" si="82"/>
        <v>1.258314328322381</v>
      </c>
      <c r="Q256" s="1102">
        <f t="shared" si="83"/>
        <v>6.2915716416119052</v>
      </c>
      <c r="R256" s="58"/>
      <c r="S256" s="1211">
        <f t="shared" si="84"/>
        <v>0.37749429849671429</v>
      </c>
      <c r="T256" s="1198">
        <f t="shared" si="85"/>
        <v>3.8333785145682127</v>
      </c>
      <c r="U256" s="1613">
        <f t="shared" si="85"/>
        <v>19.166892572841064</v>
      </c>
      <c r="V256" s="1613">
        <f t="shared" si="85"/>
        <v>0</v>
      </c>
      <c r="W256" s="1200">
        <f t="shared" si="85"/>
        <v>1.1500135543704637</v>
      </c>
    </row>
    <row r="257" spans="1:23">
      <c r="A257" s="466">
        <f>'Input data'!A123</f>
        <v>2023</v>
      </c>
      <c r="B257" s="1366">
        <f>'Recycling - Case 3'!AI103</f>
        <v>6437.6604656145792</v>
      </c>
      <c r="C257" s="576">
        <f>C256</f>
        <v>0.5</v>
      </c>
      <c r="D257" s="576">
        <f t="shared" si="86"/>
        <v>0.5</v>
      </c>
      <c r="E257" s="58">
        <v>0</v>
      </c>
      <c r="F257" s="58">
        <v>0</v>
      </c>
      <c r="G257" s="1365">
        <f t="shared" si="87"/>
        <v>2.5750641862458319</v>
      </c>
      <c r="H257" s="1102">
        <f t="shared" si="88"/>
        <v>12.875320931229158</v>
      </c>
      <c r="I257" s="58"/>
      <c r="J257" s="1211">
        <f t="shared" si="89"/>
        <v>0.77251925587374948</v>
      </c>
      <c r="K257" s="1364">
        <f>'Recycling - Case 3'!Z183</f>
        <v>3202.2796257327404</v>
      </c>
      <c r="L257" s="576">
        <f>L256</f>
        <v>0.5</v>
      </c>
      <c r="M257" s="576">
        <f t="shared" si="90"/>
        <v>0.5</v>
      </c>
      <c r="N257" s="58">
        <f t="shared" si="81"/>
        <v>0</v>
      </c>
      <c r="O257" s="58">
        <f t="shared" si="81"/>
        <v>0</v>
      </c>
      <c r="P257" s="1365">
        <f t="shared" si="82"/>
        <v>1.2809118502930963</v>
      </c>
      <c r="Q257" s="1102">
        <f t="shared" si="83"/>
        <v>6.4045592514654812</v>
      </c>
      <c r="R257" s="58"/>
      <c r="S257" s="1211">
        <f t="shared" si="84"/>
        <v>0.38427355508792888</v>
      </c>
      <c r="T257" s="1198">
        <f t="shared" si="85"/>
        <v>3.8559760365389284</v>
      </c>
      <c r="U257" s="1613">
        <f t="shared" si="85"/>
        <v>19.27988018269464</v>
      </c>
      <c r="V257" s="1613">
        <f t="shared" si="85"/>
        <v>0</v>
      </c>
      <c r="W257" s="1200">
        <f t="shared" si="85"/>
        <v>1.1567928109616783</v>
      </c>
    </row>
    <row r="258" spans="1:23">
      <c r="A258" s="466">
        <f>'Input data'!A124</f>
        <v>2024</v>
      </c>
      <c r="B258" s="1366">
        <f>'Recycling - Case 3'!AI104</f>
        <v>6437.6604656145792</v>
      </c>
      <c r="C258" s="576">
        <f t="shared" ref="C258:C284" si="93">C257</f>
        <v>0.5</v>
      </c>
      <c r="D258" s="576">
        <f t="shared" si="86"/>
        <v>0.5</v>
      </c>
      <c r="E258" s="58">
        <v>0</v>
      </c>
      <c r="F258" s="58">
        <v>0</v>
      </c>
      <c r="G258" s="1365">
        <f t="shared" si="87"/>
        <v>2.5750641862458319</v>
      </c>
      <c r="H258" s="1102">
        <f t="shared" si="88"/>
        <v>12.875320931229158</v>
      </c>
      <c r="I258" s="58"/>
      <c r="J258" s="1211">
        <f t="shared" si="89"/>
        <v>0.77251925587374948</v>
      </c>
      <c r="K258" s="1364">
        <f>'Recycling - Case 3'!Z184</f>
        <v>3266.3298406827407</v>
      </c>
      <c r="L258" s="576">
        <f t="shared" ref="L258:L284" si="94">L257</f>
        <v>0.5</v>
      </c>
      <c r="M258" s="576">
        <f t="shared" si="90"/>
        <v>0.5</v>
      </c>
      <c r="N258" s="58">
        <f t="shared" si="81"/>
        <v>0</v>
      </c>
      <c r="O258" s="58">
        <f t="shared" si="81"/>
        <v>0</v>
      </c>
      <c r="P258" s="1365">
        <f t="shared" si="82"/>
        <v>1.3065319362730963</v>
      </c>
      <c r="Q258" s="1102">
        <f t="shared" si="83"/>
        <v>6.5326596813654811</v>
      </c>
      <c r="R258" s="58"/>
      <c r="S258" s="1211">
        <f t="shared" si="84"/>
        <v>0.39195958088192889</v>
      </c>
      <c r="T258" s="1198">
        <f t="shared" si="85"/>
        <v>3.8815961225189284</v>
      </c>
      <c r="U258" s="1613">
        <f t="shared" si="85"/>
        <v>19.407980612594638</v>
      </c>
      <c r="V258" s="1613">
        <f t="shared" si="85"/>
        <v>0</v>
      </c>
      <c r="W258" s="1200">
        <f t="shared" si="85"/>
        <v>1.1644788367556784</v>
      </c>
    </row>
    <row r="259" spans="1:23">
      <c r="A259" s="466">
        <f>'Input data'!A125</f>
        <v>2025</v>
      </c>
      <c r="B259" s="1366">
        <f>'Recycling - Case 3'!AI105</f>
        <v>6437.6604656145792</v>
      </c>
      <c r="C259" s="576">
        <f t="shared" si="93"/>
        <v>0.5</v>
      </c>
      <c r="D259" s="576">
        <f t="shared" si="86"/>
        <v>0.5</v>
      </c>
      <c r="E259" s="58">
        <v>0</v>
      </c>
      <c r="F259" s="58">
        <v>0</v>
      </c>
      <c r="G259" s="1365">
        <f t="shared" si="87"/>
        <v>2.5750641862458319</v>
      </c>
      <c r="H259" s="1102">
        <f t="shared" si="88"/>
        <v>12.875320931229158</v>
      </c>
      <c r="I259" s="58"/>
      <c r="J259" s="1211">
        <f t="shared" si="89"/>
        <v>0.77251925587374948</v>
      </c>
      <c r="K259" s="1364">
        <f>'Recycling - Case 3'!Z185</f>
        <v>3327.4801729303604</v>
      </c>
      <c r="L259" s="576">
        <f t="shared" si="94"/>
        <v>0.5</v>
      </c>
      <c r="M259" s="576">
        <f t="shared" si="90"/>
        <v>0.5</v>
      </c>
      <c r="N259" s="58">
        <f t="shared" si="81"/>
        <v>0</v>
      </c>
      <c r="O259" s="58">
        <f t="shared" si="81"/>
        <v>0</v>
      </c>
      <c r="P259" s="1365">
        <f t="shared" si="82"/>
        <v>1.3309920691721442</v>
      </c>
      <c r="Q259" s="1102">
        <f t="shared" si="83"/>
        <v>6.6549603458607205</v>
      </c>
      <c r="R259" s="58"/>
      <c r="S259" s="1211">
        <f t="shared" si="84"/>
        <v>0.39929762075164327</v>
      </c>
      <c r="T259" s="1198">
        <f t="shared" si="85"/>
        <v>3.9060562554179761</v>
      </c>
      <c r="U259" s="1613">
        <f t="shared" si="85"/>
        <v>19.530281277089877</v>
      </c>
      <c r="V259" s="1613">
        <f t="shared" si="85"/>
        <v>0</v>
      </c>
      <c r="W259" s="1200">
        <f t="shared" si="85"/>
        <v>1.1718168766253927</v>
      </c>
    </row>
    <row r="260" spans="1:23">
      <c r="A260" s="466">
        <f>'Input data'!A126</f>
        <v>2026</v>
      </c>
      <c r="B260" s="1366">
        <f>'Recycling - Case 3'!AI106</f>
        <v>6437.6604656145792</v>
      </c>
      <c r="C260" s="576">
        <f t="shared" si="93"/>
        <v>0.5</v>
      </c>
      <c r="D260" s="576">
        <f t="shared" si="86"/>
        <v>0.5</v>
      </c>
      <c r="E260" s="58">
        <v>0</v>
      </c>
      <c r="F260" s="58">
        <v>0</v>
      </c>
      <c r="G260" s="1365">
        <f t="shared" si="87"/>
        <v>2.5750641862458319</v>
      </c>
      <c r="H260" s="1102">
        <f t="shared" si="88"/>
        <v>12.875320931229158</v>
      </c>
      <c r="I260" s="58"/>
      <c r="J260" s="1211">
        <f t="shared" si="89"/>
        <v>0.77251925587374948</v>
      </c>
      <c r="K260" s="1364">
        <f>'Recycling - Case 3'!Z186</f>
        <v>3382.7896165508691</v>
      </c>
      <c r="L260" s="576">
        <f t="shared" si="94"/>
        <v>0.5</v>
      </c>
      <c r="M260" s="576">
        <f t="shared" si="90"/>
        <v>0.5</v>
      </c>
      <c r="N260" s="58">
        <f t="shared" si="81"/>
        <v>0</v>
      </c>
      <c r="O260" s="58">
        <f t="shared" si="81"/>
        <v>0</v>
      </c>
      <c r="P260" s="1365">
        <f t="shared" si="82"/>
        <v>1.3531158466203479</v>
      </c>
      <c r="Q260" s="1102">
        <f t="shared" si="83"/>
        <v>6.7655792331017386</v>
      </c>
      <c r="R260" s="58"/>
      <c r="S260" s="1211">
        <f t="shared" si="84"/>
        <v>0.40593475398610429</v>
      </c>
      <c r="T260" s="1198">
        <f t="shared" si="85"/>
        <v>3.9281800328661798</v>
      </c>
      <c r="U260" s="1613">
        <f t="shared" si="85"/>
        <v>19.640900164330898</v>
      </c>
      <c r="V260" s="1613">
        <f t="shared" si="85"/>
        <v>0</v>
      </c>
      <c r="W260" s="1200">
        <f t="shared" si="85"/>
        <v>1.1784540098598537</v>
      </c>
    </row>
    <row r="261" spans="1:23">
      <c r="A261" s="466">
        <f>'Input data'!A127</f>
        <v>2027</v>
      </c>
      <c r="B261" s="1366">
        <f>'Recycling - Case 3'!AI107</f>
        <v>6437.6604656145792</v>
      </c>
      <c r="C261" s="576">
        <f t="shared" si="93"/>
        <v>0.5</v>
      </c>
      <c r="D261" s="576">
        <f t="shared" si="86"/>
        <v>0.5</v>
      </c>
      <c r="E261" s="58">
        <v>0</v>
      </c>
      <c r="F261" s="58">
        <v>0</v>
      </c>
      <c r="G261" s="1365">
        <f t="shared" si="87"/>
        <v>2.5750641862458319</v>
      </c>
      <c r="H261" s="1102">
        <f t="shared" si="88"/>
        <v>12.875320931229158</v>
      </c>
      <c r="I261" s="58"/>
      <c r="J261" s="1211">
        <f t="shared" si="89"/>
        <v>0.77251925587374948</v>
      </c>
      <c r="K261" s="1364">
        <f>'Recycling - Case 3'!Z187</f>
        <v>3436.3360700456424</v>
      </c>
      <c r="L261" s="576">
        <f t="shared" si="94"/>
        <v>0.5</v>
      </c>
      <c r="M261" s="576">
        <f t="shared" si="90"/>
        <v>0.5</v>
      </c>
      <c r="N261" s="58">
        <f t="shared" si="81"/>
        <v>0</v>
      </c>
      <c r="O261" s="58">
        <f t="shared" si="81"/>
        <v>0</v>
      </c>
      <c r="P261" s="1365">
        <f t="shared" si="82"/>
        <v>1.3745344280182572</v>
      </c>
      <c r="Q261" s="1102">
        <f t="shared" si="83"/>
        <v>6.8726721400912849</v>
      </c>
      <c r="R261" s="58"/>
      <c r="S261" s="1211">
        <f t="shared" si="84"/>
        <v>0.41236032840547704</v>
      </c>
      <c r="T261" s="1198">
        <f t="shared" si="85"/>
        <v>3.9495986142640893</v>
      </c>
      <c r="U261" s="1613">
        <f t="shared" si="85"/>
        <v>19.747993071320444</v>
      </c>
      <c r="V261" s="1613">
        <f t="shared" si="85"/>
        <v>0</v>
      </c>
      <c r="W261" s="1200">
        <f t="shared" si="85"/>
        <v>1.1848795842792266</v>
      </c>
    </row>
    <row r="262" spans="1:23">
      <c r="A262" s="466">
        <f>'Input data'!A128</f>
        <v>2028</v>
      </c>
      <c r="B262" s="1366">
        <f>'Recycling - Case 3'!AI108</f>
        <v>6437.6604656145792</v>
      </c>
      <c r="C262" s="576">
        <f t="shared" si="93"/>
        <v>0.5</v>
      </c>
      <c r="D262" s="576">
        <f t="shared" si="86"/>
        <v>0.5</v>
      </c>
      <c r="E262" s="58">
        <v>0</v>
      </c>
      <c r="F262" s="58">
        <v>0</v>
      </c>
      <c r="G262" s="1365">
        <f t="shared" si="87"/>
        <v>2.5750641862458319</v>
      </c>
      <c r="H262" s="1102">
        <f t="shared" si="88"/>
        <v>12.875320931229158</v>
      </c>
      <c r="I262" s="58"/>
      <c r="J262" s="1211">
        <f t="shared" si="89"/>
        <v>0.77251925587374948</v>
      </c>
      <c r="K262" s="1364">
        <f>'Recycling - Case 3'!Z188</f>
        <v>3487.0950456185724</v>
      </c>
      <c r="L262" s="576">
        <f t="shared" si="94"/>
        <v>0.5</v>
      </c>
      <c r="M262" s="576">
        <f t="shared" si="90"/>
        <v>0.5</v>
      </c>
      <c r="N262" s="58">
        <f t="shared" si="81"/>
        <v>0</v>
      </c>
      <c r="O262" s="58">
        <f t="shared" si="81"/>
        <v>0</v>
      </c>
      <c r="P262" s="1365">
        <f t="shared" si="82"/>
        <v>1.3948380182474291</v>
      </c>
      <c r="Q262" s="1102">
        <f t="shared" si="83"/>
        <v>6.9741900912371451</v>
      </c>
      <c r="R262" s="58"/>
      <c r="S262" s="1211">
        <f t="shared" si="84"/>
        <v>0.41845140547422871</v>
      </c>
      <c r="T262" s="1198">
        <f t="shared" si="85"/>
        <v>3.9699022044932608</v>
      </c>
      <c r="U262" s="1613">
        <f t="shared" si="85"/>
        <v>19.849511022466302</v>
      </c>
      <c r="V262" s="1613">
        <f t="shared" si="85"/>
        <v>0</v>
      </c>
      <c r="W262" s="1200">
        <f t="shared" si="85"/>
        <v>1.1909706613479782</v>
      </c>
    </row>
    <row r="263" spans="1:23">
      <c r="A263" s="466">
        <f>'Input data'!A129</f>
        <v>2029</v>
      </c>
      <c r="B263" s="1366">
        <f>'Recycling - Case 3'!AI109</f>
        <v>6437.6604656145792</v>
      </c>
      <c r="C263" s="576">
        <f t="shared" si="93"/>
        <v>0.5</v>
      </c>
      <c r="D263" s="576">
        <f t="shared" si="86"/>
        <v>0.5</v>
      </c>
      <c r="E263" s="58">
        <v>0</v>
      </c>
      <c r="F263" s="58">
        <v>0</v>
      </c>
      <c r="G263" s="1365">
        <f t="shared" si="87"/>
        <v>2.5750641862458319</v>
      </c>
      <c r="H263" s="1102">
        <f t="shared" si="88"/>
        <v>12.875320931229158</v>
      </c>
      <c r="I263" s="58"/>
      <c r="J263" s="1211">
        <f t="shared" si="89"/>
        <v>0.77251925587374948</v>
      </c>
      <c r="K263" s="1364">
        <f>'Recycling - Case 3'!Z189</f>
        <v>3550.2801907226872</v>
      </c>
      <c r="L263" s="576">
        <f t="shared" si="94"/>
        <v>0.5</v>
      </c>
      <c r="M263" s="576">
        <f t="shared" si="90"/>
        <v>0.5</v>
      </c>
      <c r="N263" s="58">
        <f t="shared" si="81"/>
        <v>0</v>
      </c>
      <c r="O263" s="58">
        <f t="shared" si="81"/>
        <v>0</v>
      </c>
      <c r="P263" s="1365">
        <f t="shared" si="82"/>
        <v>1.4201120762890751</v>
      </c>
      <c r="Q263" s="1102">
        <f t="shared" si="83"/>
        <v>7.1005603814453746</v>
      </c>
      <c r="R263" s="58"/>
      <c r="S263" s="1211">
        <f t="shared" si="84"/>
        <v>0.42603362288672247</v>
      </c>
      <c r="T263" s="1198">
        <f t="shared" si="85"/>
        <v>3.995176262534907</v>
      </c>
      <c r="U263" s="1613">
        <f t="shared" si="85"/>
        <v>19.975881312674531</v>
      </c>
      <c r="V263" s="1613">
        <f t="shared" si="85"/>
        <v>0</v>
      </c>
      <c r="W263" s="1200">
        <f t="shared" si="85"/>
        <v>1.198552878760472</v>
      </c>
    </row>
    <row r="264" spans="1:23">
      <c r="A264" s="466">
        <f>'Input data'!A130</f>
        <v>2030</v>
      </c>
      <c r="B264" s="1366">
        <f>'Recycling - Case 3'!AI110</f>
        <v>6437.6604656145792</v>
      </c>
      <c r="C264" s="576">
        <f t="shared" si="93"/>
        <v>0.5</v>
      </c>
      <c r="D264" s="576">
        <f t="shared" si="86"/>
        <v>0.5</v>
      </c>
      <c r="E264" s="58">
        <v>0</v>
      </c>
      <c r="F264" s="58">
        <v>0</v>
      </c>
      <c r="G264" s="1365">
        <f t="shared" si="87"/>
        <v>2.5750641862458319</v>
      </c>
      <c r="H264" s="1102">
        <f t="shared" si="88"/>
        <v>12.875320931229158</v>
      </c>
      <c r="I264" s="58"/>
      <c r="J264" s="1211">
        <f t="shared" si="89"/>
        <v>0.77251925587374948</v>
      </c>
      <c r="K264" s="1364">
        <f>'Recycling - Case 3'!Z190</f>
        <v>3612.8440237006225</v>
      </c>
      <c r="L264" s="576">
        <f t="shared" si="94"/>
        <v>0.5</v>
      </c>
      <c r="M264" s="576">
        <f t="shared" si="90"/>
        <v>0.5</v>
      </c>
      <c r="N264" s="58">
        <f t="shared" si="81"/>
        <v>0</v>
      </c>
      <c r="O264" s="58">
        <f t="shared" si="81"/>
        <v>0</v>
      </c>
      <c r="P264" s="1365">
        <f t="shared" si="82"/>
        <v>1.4451376094802491</v>
      </c>
      <c r="Q264" s="1102">
        <f t="shared" si="83"/>
        <v>7.2256880474012455</v>
      </c>
      <c r="R264" s="58"/>
      <c r="S264" s="1211">
        <f t="shared" si="84"/>
        <v>0.43354128284407473</v>
      </c>
      <c r="T264" s="1198">
        <f t="shared" si="85"/>
        <v>4.0202017957260807</v>
      </c>
      <c r="U264" s="1613">
        <f t="shared" si="85"/>
        <v>20.101008978630404</v>
      </c>
      <c r="V264" s="1613">
        <f t="shared" si="85"/>
        <v>0</v>
      </c>
      <c r="W264" s="1200">
        <f t="shared" si="85"/>
        <v>1.2060605387178243</v>
      </c>
    </row>
    <row r="265" spans="1:23">
      <c r="A265" s="466">
        <f>'Input data'!A131</f>
        <v>2031</v>
      </c>
      <c r="B265" s="1366">
        <f>'Recycling - Case 3'!AI111</f>
        <v>6437.6604656145792</v>
      </c>
      <c r="C265" s="576">
        <f t="shared" si="93"/>
        <v>0.5</v>
      </c>
      <c r="D265" s="576">
        <f t="shared" si="86"/>
        <v>0.5</v>
      </c>
      <c r="E265" s="58">
        <v>0</v>
      </c>
      <c r="F265" s="58">
        <v>0</v>
      </c>
      <c r="G265" s="1365">
        <f t="shared" si="87"/>
        <v>2.5750641862458319</v>
      </c>
      <c r="H265" s="1102">
        <f t="shared" si="88"/>
        <v>12.875320931229158</v>
      </c>
      <c r="I265" s="58"/>
      <c r="J265" s="1211">
        <f t="shared" si="89"/>
        <v>0.77251925587374948</v>
      </c>
      <c r="K265" s="1364">
        <f>'Recycling - Case 3'!Z191</f>
        <v>3681.1215820084799</v>
      </c>
      <c r="L265" s="576">
        <f t="shared" si="94"/>
        <v>0.5</v>
      </c>
      <c r="M265" s="576">
        <f t="shared" si="90"/>
        <v>0.5</v>
      </c>
      <c r="N265" s="58">
        <f t="shared" si="81"/>
        <v>0</v>
      </c>
      <c r="O265" s="58">
        <f t="shared" si="81"/>
        <v>0</v>
      </c>
      <c r="P265" s="1365">
        <f t="shared" si="82"/>
        <v>1.4724486328033921</v>
      </c>
      <c r="Q265" s="1102">
        <f t="shared" si="83"/>
        <v>7.3622431640169594</v>
      </c>
      <c r="R265" s="58"/>
      <c r="S265" s="1211">
        <f t="shared" si="84"/>
        <v>0.44173458984101754</v>
      </c>
      <c r="T265" s="1198">
        <f t="shared" si="85"/>
        <v>4.0475128190492242</v>
      </c>
      <c r="U265" s="1613">
        <f t="shared" si="85"/>
        <v>20.237564095246118</v>
      </c>
      <c r="V265" s="1613">
        <f t="shared" si="85"/>
        <v>0</v>
      </c>
      <c r="W265" s="1200">
        <f t="shared" si="85"/>
        <v>1.2142538457147669</v>
      </c>
    </row>
    <row r="266" spans="1:23">
      <c r="A266" s="466">
        <f>'Input data'!A132</f>
        <v>2032</v>
      </c>
      <c r="B266" s="1366">
        <f>'Recycling - Case 3'!AI112</f>
        <v>6437.6604656145792</v>
      </c>
      <c r="C266" s="576">
        <f t="shared" si="93"/>
        <v>0.5</v>
      </c>
      <c r="D266" s="576">
        <f t="shared" si="86"/>
        <v>0.5</v>
      </c>
      <c r="E266" s="58">
        <v>0</v>
      </c>
      <c r="F266" s="58">
        <v>0</v>
      </c>
      <c r="G266" s="1365">
        <f t="shared" si="87"/>
        <v>2.5750641862458319</v>
      </c>
      <c r="H266" s="1102">
        <f t="shared" si="88"/>
        <v>12.875320931229158</v>
      </c>
      <c r="I266" s="58"/>
      <c r="J266" s="1211">
        <f t="shared" si="89"/>
        <v>0.77251925587374948</v>
      </c>
      <c r="K266" s="1364">
        <f>'Recycling - Case 3'!Z192</f>
        <v>3761.3857443265993</v>
      </c>
      <c r="L266" s="576">
        <f t="shared" si="94"/>
        <v>0.5</v>
      </c>
      <c r="M266" s="576">
        <f t="shared" si="90"/>
        <v>0.5</v>
      </c>
      <c r="N266" s="58">
        <f t="shared" si="81"/>
        <v>0</v>
      </c>
      <c r="O266" s="58">
        <f t="shared" si="81"/>
        <v>0</v>
      </c>
      <c r="P266" s="1365">
        <f t="shared" si="82"/>
        <v>1.5045542977306396</v>
      </c>
      <c r="Q266" s="1102">
        <f t="shared" si="83"/>
        <v>7.5227714886531984</v>
      </c>
      <c r="R266" s="58"/>
      <c r="S266" s="1211">
        <f t="shared" si="84"/>
        <v>0.45136628931919187</v>
      </c>
      <c r="T266" s="1198">
        <f t="shared" si="85"/>
        <v>4.0796184839764713</v>
      </c>
      <c r="U266" s="1613">
        <f t="shared" si="85"/>
        <v>20.398092419882357</v>
      </c>
      <c r="V266" s="1613">
        <f t="shared" si="85"/>
        <v>0</v>
      </c>
      <c r="W266" s="1200">
        <f t="shared" si="85"/>
        <v>1.2238855451929413</v>
      </c>
    </row>
    <row r="267" spans="1:23">
      <c r="A267" s="466">
        <f>'Input data'!A133</f>
        <v>2033</v>
      </c>
      <c r="B267" s="1366">
        <f>'Recycling - Case 3'!AI113</f>
        <v>6437.6604656145792</v>
      </c>
      <c r="C267" s="576">
        <f t="shared" si="93"/>
        <v>0.5</v>
      </c>
      <c r="D267" s="576">
        <f t="shared" si="86"/>
        <v>0.5</v>
      </c>
      <c r="E267" s="58">
        <v>0</v>
      </c>
      <c r="F267" s="58">
        <v>0</v>
      </c>
      <c r="G267" s="1365">
        <f t="shared" si="87"/>
        <v>2.5750641862458319</v>
      </c>
      <c r="H267" s="1102">
        <f t="shared" si="88"/>
        <v>12.875320931229158</v>
      </c>
      <c r="I267" s="58"/>
      <c r="J267" s="1211">
        <f t="shared" si="89"/>
        <v>0.77251925587374948</v>
      </c>
      <c r="K267" s="1364">
        <f>'Recycling - Case 3'!Z193</f>
        <v>3848.0219164089949</v>
      </c>
      <c r="L267" s="576">
        <f t="shared" si="94"/>
        <v>0.5</v>
      </c>
      <c r="M267" s="576">
        <f t="shared" si="90"/>
        <v>0.5</v>
      </c>
      <c r="N267" s="58">
        <f t="shared" si="81"/>
        <v>0</v>
      </c>
      <c r="O267" s="58">
        <f t="shared" si="81"/>
        <v>0</v>
      </c>
      <c r="P267" s="1365">
        <f t="shared" si="82"/>
        <v>1.5392087665635981</v>
      </c>
      <c r="Q267" s="1102">
        <f t="shared" si="83"/>
        <v>7.6960438328179901</v>
      </c>
      <c r="R267" s="58"/>
      <c r="S267" s="1211">
        <f t="shared" si="84"/>
        <v>0.46176262996907941</v>
      </c>
      <c r="T267" s="1198">
        <f t="shared" si="85"/>
        <v>4.1142729528094302</v>
      </c>
      <c r="U267" s="1613">
        <f t="shared" si="85"/>
        <v>20.571364764047146</v>
      </c>
      <c r="V267" s="1613">
        <f t="shared" si="85"/>
        <v>0</v>
      </c>
      <c r="W267" s="1200">
        <f t="shared" si="85"/>
        <v>1.2342818858428288</v>
      </c>
    </row>
    <row r="268" spans="1:23">
      <c r="A268" s="466">
        <f>'Input data'!A134</f>
        <v>2034</v>
      </c>
      <c r="B268" s="1366">
        <f>'Recycling - Case 3'!AI114</f>
        <v>6437.6604656145792</v>
      </c>
      <c r="C268" s="576">
        <f t="shared" si="93"/>
        <v>0.5</v>
      </c>
      <c r="D268" s="576">
        <f t="shared" si="86"/>
        <v>0.5</v>
      </c>
      <c r="E268" s="58">
        <v>0</v>
      </c>
      <c r="F268" s="58">
        <v>0</v>
      </c>
      <c r="G268" s="1365">
        <f t="shared" si="87"/>
        <v>2.5750641862458319</v>
      </c>
      <c r="H268" s="1102">
        <f t="shared" si="88"/>
        <v>12.875320931229158</v>
      </c>
      <c r="I268" s="58"/>
      <c r="J268" s="1211">
        <f t="shared" si="89"/>
        <v>0.77251925587374948</v>
      </c>
      <c r="K268" s="1364">
        <f>'Recycling - Case 3'!Z194</f>
        <v>3949.1309735819841</v>
      </c>
      <c r="L268" s="576">
        <f t="shared" si="94"/>
        <v>0.5</v>
      </c>
      <c r="M268" s="576">
        <f t="shared" si="90"/>
        <v>0.5</v>
      </c>
      <c r="N268" s="58">
        <f t="shared" ref="N268:O283" si="95">N130</f>
        <v>0</v>
      </c>
      <c r="O268" s="58">
        <f t="shared" si="95"/>
        <v>0</v>
      </c>
      <c r="P268" s="1365">
        <f t="shared" si="82"/>
        <v>1.5796523894327938</v>
      </c>
      <c r="Q268" s="1102">
        <f t="shared" si="83"/>
        <v>7.8982619471639683</v>
      </c>
      <c r="R268" s="58"/>
      <c r="S268" s="1211">
        <f t="shared" si="84"/>
        <v>0.47389571682983805</v>
      </c>
      <c r="T268" s="1198">
        <f t="shared" si="85"/>
        <v>4.1547165756786253</v>
      </c>
      <c r="U268" s="1613">
        <f t="shared" si="85"/>
        <v>20.773582878393128</v>
      </c>
      <c r="V268" s="1613">
        <f t="shared" si="85"/>
        <v>0</v>
      </c>
      <c r="W268" s="1200">
        <f t="shared" si="85"/>
        <v>1.2464149727035876</v>
      </c>
    </row>
    <row r="269" spans="1:23">
      <c r="A269" s="466">
        <f>'Input data'!A135</f>
        <v>2035</v>
      </c>
      <c r="B269" s="1366">
        <f>'Recycling - Case 3'!AI115</f>
        <v>6437.6604656145792</v>
      </c>
      <c r="C269" s="576">
        <f t="shared" si="93"/>
        <v>0.5</v>
      </c>
      <c r="D269" s="576">
        <f t="shared" si="86"/>
        <v>0.5</v>
      </c>
      <c r="E269" s="58">
        <v>0</v>
      </c>
      <c r="F269" s="58">
        <v>0</v>
      </c>
      <c r="G269" s="1365">
        <f t="shared" si="87"/>
        <v>2.5750641862458319</v>
      </c>
      <c r="H269" s="1102">
        <f t="shared" si="88"/>
        <v>12.875320931229158</v>
      </c>
      <c r="I269" s="58"/>
      <c r="J269" s="1211">
        <f t="shared" si="89"/>
        <v>0.77251925587374948</v>
      </c>
      <c r="K269" s="1364">
        <f>'Recycling - Case 3'!Z195</f>
        <v>4030.6704350808041</v>
      </c>
      <c r="L269" s="576">
        <f t="shared" si="94"/>
        <v>0.5</v>
      </c>
      <c r="M269" s="576">
        <f t="shared" si="90"/>
        <v>0.5</v>
      </c>
      <c r="N269" s="58">
        <f t="shared" si="95"/>
        <v>0</v>
      </c>
      <c r="O269" s="58">
        <f t="shared" si="95"/>
        <v>0</v>
      </c>
      <c r="P269" s="1365">
        <f t="shared" si="82"/>
        <v>1.6122681740323217</v>
      </c>
      <c r="Q269" s="1102">
        <f t="shared" si="83"/>
        <v>8.0613408701616081</v>
      </c>
      <c r="R269" s="58"/>
      <c r="S269" s="1211">
        <f t="shared" si="84"/>
        <v>0.48368045220969647</v>
      </c>
      <c r="T269" s="1198">
        <f t="shared" si="85"/>
        <v>4.1873323602781536</v>
      </c>
      <c r="U269" s="1613">
        <f t="shared" si="85"/>
        <v>20.936661801390766</v>
      </c>
      <c r="V269" s="1613">
        <f t="shared" si="85"/>
        <v>0</v>
      </c>
      <c r="W269" s="1200">
        <f t="shared" si="85"/>
        <v>1.2561997080834459</v>
      </c>
    </row>
    <row r="270" spans="1:23">
      <c r="A270" s="466">
        <f>'Input data'!A136</f>
        <v>2036</v>
      </c>
      <c r="B270" s="1366">
        <f>'Recycling - Case 3'!AI116</f>
        <v>6437.6604656145792</v>
      </c>
      <c r="C270" s="576">
        <f t="shared" si="93"/>
        <v>0.5</v>
      </c>
      <c r="D270" s="576">
        <f t="shared" si="86"/>
        <v>0.5</v>
      </c>
      <c r="E270" s="58">
        <v>0</v>
      </c>
      <c r="F270" s="58">
        <v>0</v>
      </c>
      <c r="G270" s="1365">
        <f t="shared" si="87"/>
        <v>2.5750641862458319</v>
      </c>
      <c r="H270" s="1102">
        <f t="shared" si="88"/>
        <v>12.875320931229158</v>
      </c>
      <c r="I270" s="58"/>
      <c r="J270" s="1211">
        <f t="shared" si="89"/>
        <v>0.77251925587374948</v>
      </c>
      <c r="K270" s="1364">
        <f>'Recycling - Case 3'!Z196</f>
        <v>4109.6267789017866</v>
      </c>
      <c r="L270" s="576">
        <f t="shared" si="94"/>
        <v>0.5</v>
      </c>
      <c r="M270" s="576">
        <f t="shared" si="90"/>
        <v>0.5</v>
      </c>
      <c r="N270" s="58">
        <f t="shared" si="95"/>
        <v>0</v>
      </c>
      <c r="O270" s="58">
        <f t="shared" si="95"/>
        <v>0</v>
      </c>
      <c r="P270" s="1365">
        <f t="shared" si="82"/>
        <v>1.6438507115607146</v>
      </c>
      <c r="Q270" s="1102">
        <f t="shared" si="83"/>
        <v>8.2192535578035724</v>
      </c>
      <c r="R270" s="58"/>
      <c r="S270" s="1211">
        <f t="shared" si="84"/>
        <v>0.49315521346821434</v>
      </c>
      <c r="T270" s="1198">
        <f t="shared" si="85"/>
        <v>4.2189148978065463</v>
      </c>
      <c r="U270" s="1613">
        <f t="shared" si="85"/>
        <v>21.09457448903273</v>
      </c>
      <c r="V270" s="1613">
        <f t="shared" si="85"/>
        <v>0</v>
      </c>
      <c r="W270" s="1200">
        <f t="shared" si="85"/>
        <v>1.2656744693419637</v>
      </c>
    </row>
    <row r="271" spans="1:23">
      <c r="A271" s="466">
        <f>'Input data'!A137</f>
        <v>2037</v>
      </c>
      <c r="B271" s="1366">
        <f>'Recycling - Case 3'!AI117</f>
        <v>6437.6604656145792</v>
      </c>
      <c r="C271" s="576">
        <f t="shared" si="93"/>
        <v>0.5</v>
      </c>
      <c r="D271" s="576">
        <f t="shared" si="86"/>
        <v>0.5</v>
      </c>
      <c r="E271" s="58">
        <v>0</v>
      </c>
      <c r="F271" s="58">
        <v>0</v>
      </c>
      <c r="G271" s="1365">
        <f t="shared" si="87"/>
        <v>2.5750641862458319</v>
      </c>
      <c r="H271" s="1102">
        <f t="shared" si="88"/>
        <v>12.875320931229158</v>
      </c>
      <c r="I271" s="58"/>
      <c r="J271" s="1211">
        <f t="shared" si="89"/>
        <v>0.77251925587374948</v>
      </c>
      <c r="K271" s="1364">
        <f>'Recycling - Case 3'!Z197</f>
        <v>4197.8517712529874</v>
      </c>
      <c r="L271" s="576">
        <f t="shared" si="94"/>
        <v>0.5</v>
      </c>
      <c r="M271" s="576">
        <f t="shared" si="90"/>
        <v>0.5</v>
      </c>
      <c r="N271" s="58">
        <f t="shared" si="95"/>
        <v>0</v>
      </c>
      <c r="O271" s="58">
        <f t="shared" si="95"/>
        <v>0</v>
      </c>
      <c r="P271" s="1365">
        <f t="shared" si="82"/>
        <v>1.6791407085011951</v>
      </c>
      <c r="Q271" s="1102">
        <f t="shared" si="83"/>
        <v>8.3957035425059754</v>
      </c>
      <c r="R271" s="58"/>
      <c r="S271" s="1211">
        <f t="shared" si="84"/>
        <v>0.50374221255035845</v>
      </c>
      <c r="T271" s="1198">
        <f t="shared" si="85"/>
        <v>4.2542048947470272</v>
      </c>
      <c r="U271" s="1613">
        <f t="shared" si="85"/>
        <v>21.271024473735132</v>
      </c>
      <c r="V271" s="1613">
        <f t="shared" si="85"/>
        <v>0</v>
      </c>
      <c r="W271" s="1200">
        <f t="shared" si="85"/>
        <v>1.2762614684241078</v>
      </c>
    </row>
    <row r="272" spans="1:23">
      <c r="A272" s="466">
        <f>'Input data'!A138</f>
        <v>2038</v>
      </c>
      <c r="B272" s="1366">
        <f>'Recycling - Case 3'!AI118</f>
        <v>6437.6604656145792</v>
      </c>
      <c r="C272" s="576">
        <f t="shared" si="93"/>
        <v>0.5</v>
      </c>
      <c r="D272" s="576">
        <f t="shared" si="86"/>
        <v>0.5</v>
      </c>
      <c r="E272" s="58">
        <v>0</v>
      </c>
      <c r="F272" s="58">
        <v>0</v>
      </c>
      <c r="G272" s="1365">
        <f t="shared" si="87"/>
        <v>2.5750641862458319</v>
      </c>
      <c r="H272" s="1102">
        <f t="shared" si="88"/>
        <v>12.875320931229158</v>
      </c>
      <c r="I272" s="58"/>
      <c r="J272" s="1211">
        <f t="shared" si="89"/>
        <v>0.77251925587374948</v>
      </c>
      <c r="K272" s="1364">
        <f>'Recycling - Case 3'!Z198</f>
        <v>4285.4228841512158</v>
      </c>
      <c r="L272" s="576">
        <f t="shared" si="94"/>
        <v>0.5</v>
      </c>
      <c r="M272" s="576">
        <f t="shared" si="90"/>
        <v>0.5</v>
      </c>
      <c r="N272" s="58">
        <f t="shared" si="95"/>
        <v>0</v>
      </c>
      <c r="O272" s="58">
        <f t="shared" si="95"/>
        <v>0</v>
      </c>
      <c r="P272" s="1365">
        <f t="shared" si="82"/>
        <v>1.7141691536604864</v>
      </c>
      <c r="Q272" s="1102">
        <f t="shared" si="83"/>
        <v>8.5708457683024317</v>
      </c>
      <c r="R272" s="58"/>
      <c r="S272" s="1211">
        <f t="shared" si="84"/>
        <v>0.51425074609814592</v>
      </c>
      <c r="T272" s="1198">
        <f t="shared" si="85"/>
        <v>4.2892333399063185</v>
      </c>
      <c r="U272" s="1613">
        <f t="shared" si="85"/>
        <v>21.446166699531588</v>
      </c>
      <c r="V272" s="1613">
        <f t="shared" si="85"/>
        <v>0</v>
      </c>
      <c r="W272" s="1200">
        <f t="shared" si="85"/>
        <v>1.2867700019718953</v>
      </c>
    </row>
    <row r="273" spans="1:23">
      <c r="A273" s="466">
        <f>'Input data'!A139</f>
        <v>2039</v>
      </c>
      <c r="B273" s="1366">
        <f>'Recycling - Case 3'!AI119</f>
        <v>6437.6604656145792</v>
      </c>
      <c r="C273" s="576">
        <f t="shared" si="93"/>
        <v>0.5</v>
      </c>
      <c r="D273" s="576">
        <f t="shared" si="86"/>
        <v>0.5</v>
      </c>
      <c r="E273" s="58">
        <v>0</v>
      </c>
      <c r="F273" s="58">
        <v>0</v>
      </c>
      <c r="G273" s="1365">
        <f t="shared" si="87"/>
        <v>2.5750641862458319</v>
      </c>
      <c r="H273" s="1102">
        <f t="shared" si="88"/>
        <v>12.875320931229158</v>
      </c>
      <c r="I273" s="58"/>
      <c r="J273" s="1211">
        <f t="shared" si="89"/>
        <v>0.77251925587374948</v>
      </c>
      <c r="K273" s="1364">
        <f>'Recycling - Case 3'!Z199</f>
        <v>4377.5291467721845</v>
      </c>
      <c r="L273" s="576">
        <f t="shared" si="94"/>
        <v>0.5</v>
      </c>
      <c r="M273" s="576">
        <f t="shared" si="90"/>
        <v>0.5</v>
      </c>
      <c r="N273" s="58">
        <f t="shared" si="95"/>
        <v>0</v>
      </c>
      <c r="O273" s="58">
        <f t="shared" si="95"/>
        <v>0</v>
      </c>
      <c r="P273" s="1365">
        <f t="shared" si="82"/>
        <v>1.751011658708874</v>
      </c>
      <c r="Q273" s="1102">
        <f t="shared" si="83"/>
        <v>8.7550582935443693</v>
      </c>
      <c r="R273" s="58"/>
      <c r="S273" s="1211">
        <f t="shared" si="84"/>
        <v>0.52530349761266215</v>
      </c>
      <c r="T273" s="1198">
        <f t="shared" si="85"/>
        <v>4.3260758449547057</v>
      </c>
      <c r="U273" s="1613">
        <f t="shared" si="85"/>
        <v>21.630379224773527</v>
      </c>
      <c r="V273" s="1613">
        <f t="shared" si="85"/>
        <v>0</v>
      </c>
      <c r="W273" s="1200">
        <f t="shared" si="85"/>
        <v>1.2978227534864115</v>
      </c>
    </row>
    <row r="274" spans="1:23">
      <c r="A274" s="466">
        <f>'Input data'!A140</f>
        <v>2040</v>
      </c>
      <c r="B274" s="1366">
        <f>'Recycling - Case 3'!AI120</f>
        <v>6437.6604656145792</v>
      </c>
      <c r="C274" s="576">
        <f t="shared" si="93"/>
        <v>0.5</v>
      </c>
      <c r="D274" s="576">
        <f t="shared" si="86"/>
        <v>0.5</v>
      </c>
      <c r="E274" s="58">
        <v>0</v>
      </c>
      <c r="F274" s="58">
        <v>0</v>
      </c>
      <c r="G274" s="1365">
        <f t="shared" si="87"/>
        <v>2.5750641862458319</v>
      </c>
      <c r="H274" s="1102">
        <f t="shared" si="88"/>
        <v>12.875320931229158</v>
      </c>
      <c r="I274" s="58"/>
      <c r="J274" s="1211">
        <f t="shared" si="89"/>
        <v>0.77251925587374948</v>
      </c>
      <c r="K274" s="1364">
        <f>'Recycling - Case 3'!Z200</f>
        <v>4470.8013872684305</v>
      </c>
      <c r="L274" s="576">
        <f t="shared" si="94"/>
        <v>0.5</v>
      </c>
      <c r="M274" s="576">
        <f t="shared" si="90"/>
        <v>0.5</v>
      </c>
      <c r="N274" s="58">
        <f t="shared" si="95"/>
        <v>0</v>
      </c>
      <c r="O274" s="58">
        <f t="shared" si="95"/>
        <v>0</v>
      </c>
      <c r="P274" s="1365">
        <f t="shared" si="82"/>
        <v>1.7883205549073724</v>
      </c>
      <c r="Q274" s="1102">
        <f t="shared" si="83"/>
        <v>8.9416027745368609</v>
      </c>
      <c r="R274" s="58"/>
      <c r="S274" s="1211">
        <f t="shared" si="84"/>
        <v>0.53649616647221154</v>
      </c>
      <c r="T274" s="1198">
        <f t="shared" si="85"/>
        <v>4.3633847411532045</v>
      </c>
      <c r="U274" s="1613">
        <f t="shared" si="85"/>
        <v>21.816923705766019</v>
      </c>
      <c r="V274" s="1613">
        <f t="shared" si="85"/>
        <v>0</v>
      </c>
      <c r="W274" s="1200">
        <f t="shared" si="85"/>
        <v>1.3090154223459609</v>
      </c>
    </row>
    <row r="275" spans="1:23">
      <c r="A275" s="466">
        <f>'Input data'!A141</f>
        <v>2041</v>
      </c>
      <c r="B275" s="1366">
        <f>'Recycling - Case 3'!AI121</f>
        <v>6437.6604656145792</v>
      </c>
      <c r="C275" s="576">
        <f t="shared" si="93"/>
        <v>0.5</v>
      </c>
      <c r="D275" s="576">
        <f t="shared" si="86"/>
        <v>0.5</v>
      </c>
      <c r="E275" s="58">
        <v>0</v>
      </c>
      <c r="F275" s="58">
        <v>0</v>
      </c>
      <c r="G275" s="1365">
        <f t="shared" si="87"/>
        <v>2.5750641862458319</v>
      </c>
      <c r="H275" s="1102">
        <f t="shared" si="88"/>
        <v>12.875320931229158</v>
      </c>
      <c r="I275" s="58"/>
      <c r="J275" s="1211">
        <f t="shared" si="89"/>
        <v>0.77251925587374948</v>
      </c>
      <c r="K275" s="1364">
        <f>'Recycling - Case 3'!Z201</f>
        <v>4573.4101876873783</v>
      </c>
      <c r="L275" s="576">
        <f t="shared" si="94"/>
        <v>0.5</v>
      </c>
      <c r="M275" s="576">
        <f t="shared" si="90"/>
        <v>0.5</v>
      </c>
      <c r="N275" s="58">
        <f t="shared" si="95"/>
        <v>0</v>
      </c>
      <c r="O275" s="58">
        <f t="shared" si="95"/>
        <v>0</v>
      </c>
      <c r="P275" s="1365">
        <f t="shared" si="82"/>
        <v>1.8293640750749514</v>
      </c>
      <c r="Q275" s="1102">
        <f t="shared" si="83"/>
        <v>9.146820375374757</v>
      </c>
      <c r="R275" s="58"/>
      <c r="S275" s="1211">
        <f t="shared" si="84"/>
        <v>0.54880922252248532</v>
      </c>
      <c r="T275" s="1198">
        <f t="shared" si="85"/>
        <v>4.404428261320783</v>
      </c>
      <c r="U275" s="1613">
        <f t="shared" si="85"/>
        <v>22.022141306603913</v>
      </c>
      <c r="V275" s="1613">
        <f t="shared" si="85"/>
        <v>0</v>
      </c>
      <c r="W275" s="1200">
        <f t="shared" si="85"/>
        <v>1.3213284783962349</v>
      </c>
    </row>
    <row r="276" spans="1:23">
      <c r="A276" s="466">
        <f>'Input data'!A142</f>
        <v>2042</v>
      </c>
      <c r="B276" s="1366">
        <f>'Recycling - Case 3'!AI122</f>
        <v>6437.6604656145792</v>
      </c>
      <c r="C276" s="576">
        <f t="shared" si="93"/>
        <v>0.5</v>
      </c>
      <c r="D276" s="576">
        <f t="shared" si="86"/>
        <v>0.5</v>
      </c>
      <c r="E276" s="58">
        <v>0</v>
      </c>
      <c r="F276" s="58">
        <v>0</v>
      </c>
      <c r="G276" s="1365">
        <f t="shared" si="87"/>
        <v>2.5750641862458319</v>
      </c>
      <c r="H276" s="1102">
        <f t="shared" si="88"/>
        <v>12.875320931229158</v>
      </c>
      <c r="I276" s="58"/>
      <c r="J276" s="1211">
        <f t="shared" si="89"/>
        <v>0.77251925587374948</v>
      </c>
      <c r="K276" s="1364">
        <f>'Recycling - Case 3'!Z202</f>
        <v>4673.052237396033</v>
      </c>
      <c r="L276" s="576">
        <f t="shared" si="94"/>
        <v>0.5</v>
      </c>
      <c r="M276" s="576">
        <f t="shared" si="90"/>
        <v>0.5</v>
      </c>
      <c r="N276" s="58">
        <f t="shared" si="95"/>
        <v>0</v>
      </c>
      <c r="O276" s="58">
        <f t="shared" si="95"/>
        <v>0</v>
      </c>
      <c r="P276" s="1365">
        <f t="shared" si="82"/>
        <v>1.8692208949584133</v>
      </c>
      <c r="Q276" s="1102">
        <f t="shared" si="83"/>
        <v>9.3461044747920656</v>
      </c>
      <c r="R276" s="58"/>
      <c r="S276" s="1211">
        <f t="shared" si="84"/>
        <v>0.56076626848752387</v>
      </c>
      <c r="T276" s="1198">
        <f t="shared" si="85"/>
        <v>4.4442850812042449</v>
      </c>
      <c r="U276" s="1613">
        <f t="shared" si="85"/>
        <v>22.221425406021226</v>
      </c>
      <c r="V276" s="1613">
        <f t="shared" si="85"/>
        <v>0</v>
      </c>
      <c r="W276" s="1200">
        <f t="shared" si="85"/>
        <v>1.3332855243612733</v>
      </c>
    </row>
    <row r="277" spans="1:23">
      <c r="A277" s="466">
        <f>'Input data'!A143</f>
        <v>2043</v>
      </c>
      <c r="B277" s="1366">
        <f>'Recycling - Case 3'!AI123</f>
        <v>6437.6604656145792</v>
      </c>
      <c r="C277" s="576">
        <f t="shared" si="93"/>
        <v>0.5</v>
      </c>
      <c r="D277" s="576">
        <f t="shared" si="86"/>
        <v>0.5</v>
      </c>
      <c r="E277" s="58">
        <v>0</v>
      </c>
      <c r="F277" s="58">
        <v>0</v>
      </c>
      <c r="G277" s="1365">
        <f t="shared" si="87"/>
        <v>2.5750641862458319</v>
      </c>
      <c r="H277" s="1102">
        <f t="shared" si="88"/>
        <v>12.875320931229158</v>
      </c>
      <c r="I277" s="58"/>
      <c r="J277" s="1211">
        <f t="shared" si="89"/>
        <v>0.77251925587374948</v>
      </c>
      <c r="K277" s="1364">
        <f>'Recycling - Case 3'!Z203</f>
        <v>4774.8796293139649</v>
      </c>
      <c r="L277" s="576">
        <f t="shared" si="94"/>
        <v>0.5</v>
      </c>
      <c r="M277" s="576">
        <f t="shared" si="90"/>
        <v>0.5</v>
      </c>
      <c r="N277" s="58">
        <f t="shared" si="95"/>
        <v>0</v>
      </c>
      <c r="O277" s="58">
        <f t="shared" si="95"/>
        <v>0</v>
      </c>
      <c r="P277" s="1365">
        <f t="shared" si="82"/>
        <v>1.909951851725586</v>
      </c>
      <c r="Q277" s="1102">
        <f t="shared" si="83"/>
        <v>9.5497592586279296</v>
      </c>
      <c r="R277" s="58"/>
      <c r="S277" s="1211">
        <f t="shared" si="84"/>
        <v>0.57298555551767572</v>
      </c>
      <c r="T277" s="1198">
        <f t="shared" si="85"/>
        <v>4.4850160379714179</v>
      </c>
      <c r="U277" s="1613">
        <f t="shared" si="85"/>
        <v>22.425080189857088</v>
      </c>
      <c r="V277" s="1613">
        <f t="shared" si="85"/>
        <v>0</v>
      </c>
      <c r="W277" s="1200">
        <f t="shared" si="85"/>
        <v>1.3455048113914252</v>
      </c>
    </row>
    <row r="278" spans="1:23">
      <c r="A278" s="466">
        <f>'Input data'!A144</f>
        <v>2044</v>
      </c>
      <c r="B278" s="1366">
        <f>'Recycling - Case 3'!AI124</f>
        <v>6437.6604656145792</v>
      </c>
      <c r="C278" s="576">
        <f t="shared" si="93"/>
        <v>0.5</v>
      </c>
      <c r="D278" s="576">
        <f t="shared" si="86"/>
        <v>0.5</v>
      </c>
      <c r="E278" s="58">
        <v>0</v>
      </c>
      <c r="F278" s="58">
        <v>0</v>
      </c>
      <c r="G278" s="1365">
        <f t="shared" si="87"/>
        <v>2.5750641862458319</v>
      </c>
      <c r="H278" s="1102">
        <f t="shared" si="88"/>
        <v>12.875320931229158</v>
      </c>
      <c r="I278" s="58"/>
      <c r="J278" s="1211">
        <f t="shared" si="89"/>
        <v>0.77251925587374948</v>
      </c>
      <c r="K278" s="1364">
        <f>'Recycling - Case 3'!Z204</f>
        <v>4880.2790721144393</v>
      </c>
      <c r="L278" s="576">
        <f t="shared" si="94"/>
        <v>0.5</v>
      </c>
      <c r="M278" s="576">
        <f t="shared" si="90"/>
        <v>0.5</v>
      </c>
      <c r="N278" s="58">
        <f t="shared" si="95"/>
        <v>0</v>
      </c>
      <c r="O278" s="58">
        <f t="shared" si="95"/>
        <v>0</v>
      </c>
      <c r="P278" s="1365">
        <f t="shared" si="82"/>
        <v>1.9521116288457758</v>
      </c>
      <c r="Q278" s="1102">
        <f t="shared" si="83"/>
        <v>9.7605581442288791</v>
      </c>
      <c r="R278" s="58"/>
      <c r="S278" s="1211">
        <f t="shared" si="84"/>
        <v>0.58563348865373266</v>
      </c>
      <c r="T278" s="1198">
        <f t="shared" si="85"/>
        <v>4.5271758150916082</v>
      </c>
      <c r="U278" s="1613">
        <f t="shared" si="85"/>
        <v>22.635879075458035</v>
      </c>
      <c r="V278" s="1613">
        <f t="shared" si="85"/>
        <v>0</v>
      </c>
      <c r="W278" s="1200">
        <f t="shared" si="85"/>
        <v>1.3581527445274821</v>
      </c>
    </row>
    <row r="279" spans="1:23">
      <c r="A279" s="466">
        <f>'Input data'!A145</f>
        <v>2045</v>
      </c>
      <c r="B279" s="1366">
        <f>'Recycling - Case 3'!AI125</f>
        <v>6437.6604656145792</v>
      </c>
      <c r="C279" s="576">
        <f t="shared" si="93"/>
        <v>0.5</v>
      </c>
      <c r="D279" s="576">
        <f t="shared" si="86"/>
        <v>0.5</v>
      </c>
      <c r="E279" s="58">
        <v>0</v>
      </c>
      <c r="F279" s="58">
        <v>0</v>
      </c>
      <c r="G279" s="1365">
        <f t="shared" si="87"/>
        <v>2.5750641862458319</v>
      </c>
      <c r="H279" s="1102">
        <f t="shared" si="88"/>
        <v>12.875320931229158</v>
      </c>
      <c r="I279" s="58"/>
      <c r="J279" s="1211">
        <f t="shared" si="89"/>
        <v>0.77251925587374948</v>
      </c>
      <c r="K279" s="1364">
        <f>'Recycling - Case 3'!Z205</f>
        <v>4989.8209734474995</v>
      </c>
      <c r="L279" s="576">
        <f t="shared" si="94"/>
        <v>0.5</v>
      </c>
      <c r="M279" s="576">
        <f t="shared" si="90"/>
        <v>0.5</v>
      </c>
      <c r="N279" s="58">
        <f t="shared" si="95"/>
        <v>0</v>
      </c>
      <c r="O279" s="58">
        <f t="shared" si="95"/>
        <v>0</v>
      </c>
      <c r="P279" s="1365">
        <f t="shared" si="82"/>
        <v>1.9959283893789999</v>
      </c>
      <c r="Q279" s="1102">
        <f t="shared" si="83"/>
        <v>9.9796419468949988</v>
      </c>
      <c r="R279" s="58"/>
      <c r="S279" s="1211">
        <f t="shared" si="84"/>
        <v>0.59877851681369987</v>
      </c>
      <c r="T279" s="1198">
        <f t="shared" si="85"/>
        <v>4.5709925756248317</v>
      </c>
      <c r="U279" s="1613">
        <f t="shared" si="85"/>
        <v>22.854962878124155</v>
      </c>
      <c r="V279" s="1613">
        <f t="shared" si="85"/>
        <v>0</v>
      </c>
      <c r="W279" s="1200">
        <f t="shared" si="85"/>
        <v>1.3712977726874493</v>
      </c>
    </row>
    <row r="280" spans="1:23">
      <c r="A280" s="466">
        <f>'Input data'!A146</f>
        <v>2046</v>
      </c>
      <c r="B280" s="1366">
        <f>'Recycling - Case 3'!AI126</f>
        <v>6437.6604656145792</v>
      </c>
      <c r="C280" s="576">
        <f t="shared" si="93"/>
        <v>0.5</v>
      </c>
      <c r="D280" s="576">
        <f t="shared" si="86"/>
        <v>0.5</v>
      </c>
      <c r="E280" s="58">
        <v>0</v>
      </c>
      <c r="F280" s="58">
        <v>0</v>
      </c>
      <c r="G280" s="1365">
        <f t="shared" si="87"/>
        <v>2.5750641862458319</v>
      </c>
      <c r="H280" s="1102">
        <f t="shared" si="88"/>
        <v>12.875320931229158</v>
      </c>
      <c r="I280" s="58"/>
      <c r="J280" s="1211">
        <f t="shared" si="89"/>
        <v>0.77251925587374948</v>
      </c>
      <c r="K280" s="1364">
        <f>'Recycling - Case 3'!Z206</f>
        <v>5111.6211020205074</v>
      </c>
      <c r="L280" s="576">
        <f t="shared" si="94"/>
        <v>0.5</v>
      </c>
      <c r="M280" s="576">
        <f t="shared" si="90"/>
        <v>0.5</v>
      </c>
      <c r="N280" s="58">
        <f t="shared" si="95"/>
        <v>0</v>
      </c>
      <c r="O280" s="58">
        <f t="shared" si="95"/>
        <v>0</v>
      </c>
      <c r="P280" s="1365">
        <f t="shared" si="82"/>
        <v>2.0446484408082033</v>
      </c>
      <c r="Q280" s="1102">
        <f t="shared" si="83"/>
        <v>10.223242204041014</v>
      </c>
      <c r="R280" s="58"/>
      <c r="S280" s="1211">
        <f t="shared" si="84"/>
        <v>0.61339453224246088</v>
      </c>
      <c r="T280" s="1198">
        <f t="shared" si="85"/>
        <v>4.6197126270540352</v>
      </c>
      <c r="U280" s="1613">
        <f t="shared" si="85"/>
        <v>23.098563135270172</v>
      </c>
      <c r="V280" s="1613">
        <f t="shared" si="85"/>
        <v>0</v>
      </c>
      <c r="W280" s="1200">
        <f t="shared" si="85"/>
        <v>1.3859137881162105</v>
      </c>
    </row>
    <row r="281" spans="1:23">
      <c r="A281" s="466">
        <f>'Input data'!A147</f>
        <v>2047</v>
      </c>
      <c r="B281" s="1366">
        <f>'Recycling - Case 3'!AI127</f>
        <v>6437.6604656145792</v>
      </c>
      <c r="C281" s="576">
        <f t="shared" si="93"/>
        <v>0.5</v>
      </c>
      <c r="D281" s="576">
        <f t="shared" si="86"/>
        <v>0.5</v>
      </c>
      <c r="E281" s="58">
        <v>0</v>
      </c>
      <c r="F281" s="58">
        <v>0</v>
      </c>
      <c r="G281" s="1365">
        <f t="shared" si="87"/>
        <v>2.5750641862458319</v>
      </c>
      <c r="H281" s="1102">
        <f t="shared" si="88"/>
        <v>12.875320931229158</v>
      </c>
      <c r="I281" s="58"/>
      <c r="J281" s="1211">
        <f t="shared" si="89"/>
        <v>0.77251925587374948</v>
      </c>
      <c r="K281" s="1364">
        <f>'Recycling - Case 3'!Z207</f>
        <v>5199.0583729432956</v>
      </c>
      <c r="L281" s="576">
        <f t="shared" si="94"/>
        <v>0.5</v>
      </c>
      <c r="M281" s="576">
        <f t="shared" si="90"/>
        <v>0.5</v>
      </c>
      <c r="N281" s="58">
        <f t="shared" si="95"/>
        <v>0</v>
      </c>
      <c r="O281" s="58">
        <f t="shared" si="95"/>
        <v>0</v>
      </c>
      <c r="P281" s="1365">
        <f t="shared" si="82"/>
        <v>2.0796233491773184</v>
      </c>
      <c r="Q281" s="1102">
        <f t="shared" si="83"/>
        <v>10.398116745886592</v>
      </c>
      <c r="R281" s="58"/>
      <c r="S281" s="1211">
        <f t="shared" si="84"/>
        <v>0.62388700475319547</v>
      </c>
      <c r="T281" s="1198">
        <f t="shared" si="85"/>
        <v>4.6546875354231503</v>
      </c>
      <c r="U281" s="1613">
        <f t="shared" si="85"/>
        <v>23.273437677115751</v>
      </c>
      <c r="V281" s="1613">
        <f t="shared" si="85"/>
        <v>0</v>
      </c>
      <c r="W281" s="1200">
        <f t="shared" si="85"/>
        <v>1.396406260626945</v>
      </c>
    </row>
    <row r="282" spans="1:23">
      <c r="A282" s="466">
        <f>'Input data'!A148</f>
        <v>2048</v>
      </c>
      <c r="B282" s="1366">
        <f>'Recycling - Case 3'!AI128</f>
        <v>6437.6604656145792</v>
      </c>
      <c r="C282" s="576">
        <f t="shared" si="93"/>
        <v>0.5</v>
      </c>
      <c r="D282" s="576">
        <f t="shared" si="86"/>
        <v>0.5</v>
      </c>
      <c r="E282" s="58">
        <v>0</v>
      </c>
      <c r="F282" s="58">
        <v>0</v>
      </c>
      <c r="G282" s="1365">
        <f t="shared" si="87"/>
        <v>2.5750641862458319</v>
      </c>
      <c r="H282" s="1102">
        <f t="shared" si="88"/>
        <v>12.875320931229158</v>
      </c>
      <c r="I282" s="58"/>
      <c r="J282" s="1211">
        <f t="shared" si="89"/>
        <v>0.77251925587374948</v>
      </c>
      <c r="K282" s="1364">
        <f>'Recycling - Case 3'!Z208</f>
        <v>5289.613511597383</v>
      </c>
      <c r="L282" s="576">
        <f t="shared" si="94"/>
        <v>0.5</v>
      </c>
      <c r="M282" s="576">
        <f t="shared" si="90"/>
        <v>0.5</v>
      </c>
      <c r="N282" s="58">
        <f t="shared" si="95"/>
        <v>0</v>
      </c>
      <c r="O282" s="58">
        <f t="shared" si="95"/>
        <v>0</v>
      </c>
      <c r="P282" s="1365">
        <f t="shared" si="82"/>
        <v>2.1158454046389532</v>
      </c>
      <c r="Q282" s="1102">
        <f t="shared" si="83"/>
        <v>10.579227023194766</v>
      </c>
      <c r="R282" s="58"/>
      <c r="S282" s="1211">
        <f t="shared" si="84"/>
        <v>0.6347536213916859</v>
      </c>
      <c r="T282" s="1198">
        <f t="shared" si="85"/>
        <v>4.6909095908847851</v>
      </c>
      <c r="U282" s="1613">
        <f t="shared" si="85"/>
        <v>23.454547954423923</v>
      </c>
      <c r="V282" s="1613">
        <f t="shared" si="85"/>
        <v>0</v>
      </c>
      <c r="W282" s="1200">
        <f t="shared" si="85"/>
        <v>1.4072728772654353</v>
      </c>
    </row>
    <row r="283" spans="1:23">
      <c r="A283" s="466">
        <f>'Input data'!A149</f>
        <v>2049</v>
      </c>
      <c r="B283" s="1366">
        <f>'Recycling - Case 3'!AI129</f>
        <v>6437.6604656145792</v>
      </c>
      <c r="C283" s="576">
        <f t="shared" si="93"/>
        <v>0.5</v>
      </c>
      <c r="D283" s="576">
        <f t="shared" si="86"/>
        <v>0.5</v>
      </c>
      <c r="E283" s="58">
        <v>0</v>
      </c>
      <c r="F283" s="58">
        <v>0</v>
      </c>
      <c r="G283" s="1365">
        <f t="shared" si="87"/>
        <v>2.5750641862458319</v>
      </c>
      <c r="H283" s="1102">
        <f t="shared" si="88"/>
        <v>12.875320931229158</v>
      </c>
      <c r="I283" s="58"/>
      <c r="J283" s="1211">
        <f t="shared" si="89"/>
        <v>0.77251925587374948</v>
      </c>
      <c r="K283" s="1364">
        <f>'Recycling - Case 3'!Z209</f>
        <v>5377.5009175276673</v>
      </c>
      <c r="L283" s="576">
        <f t="shared" si="94"/>
        <v>0.5</v>
      </c>
      <c r="M283" s="576">
        <f t="shared" si="90"/>
        <v>0.5</v>
      </c>
      <c r="N283" s="58">
        <f t="shared" si="95"/>
        <v>0</v>
      </c>
      <c r="O283" s="58">
        <f t="shared" si="95"/>
        <v>0</v>
      </c>
      <c r="P283" s="1365">
        <f t="shared" si="82"/>
        <v>2.1510003670110667</v>
      </c>
      <c r="Q283" s="1102">
        <f t="shared" si="83"/>
        <v>10.755001835055335</v>
      </c>
      <c r="R283" s="58"/>
      <c r="S283" s="1211">
        <f t="shared" si="84"/>
        <v>0.64530011010332011</v>
      </c>
      <c r="T283" s="1198">
        <f t="shared" si="85"/>
        <v>4.726064553256899</v>
      </c>
      <c r="U283" s="1613">
        <f t="shared" si="85"/>
        <v>23.630322766284493</v>
      </c>
      <c r="V283" s="1613">
        <f t="shared" si="85"/>
        <v>0</v>
      </c>
      <c r="W283" s="1200">
        <f t="shared" si="85"/>
        <v>1.4178193659770697</v>
      </c>
    </row>
    <row r="284" spans="1:23" ht="15.75" thickBot="1">
      <c r="A284" s="1363">
        <f>'Input data'!A150</f>
        <v>2050</v>
      </c>
      <c r="B284" s="1614">
        <f>'Recycling - Case 3'!AI130</f>
        <v>6437.6604656145792</v>
      </c>
      <c r="C284" s="578">
        <f t="shared" si="93"/>
        <v>0.5</v>
      </c>
      <c r="D284" s="578">
        <f t="shared" si="86"/>
        <v>0.5</v>
      </c>
      <c r="E284" s="1212">
        <v>0</v>
      </c>
      <c r="F284" s="1212">
        <v>0</v>
      </c>
      <c r="G284" s="1213">
        <f t="shared" si="87"/>
        <v>2.5750641862458319</v>
      </c>
      <c r="H284" s="1144">
        <f t="shared" si="88"/>
        <v>12.875320931229158</v>
      </c>
      <c r="I284" s="1212"/>
      <c r="J284" s="1214">
        <f t="shared" si="89"/>
        <v>0.77251925587374948</v>
      </c>
      <c r="K284" s="1485">
        <f>'Recycling - Case 3'!Z210</f>
        <v>5465.916608694276</v>
      </c>
      <c r="L284" s="578">
        <f t="shared" si="94"/>
        <v>0.5</v>
      </c>
      <c r="M284" s="578">
        <f t="shared" si="90"/>
        <v>0.5</v>
      </c>
      <c r="N284" s="1212">
        <f t="shared" ref="N284:O284" si="96">N146</f>
        <v>0</v>
      </c>
      <c r="O284" s="1212">
        <f t="shared" si="96"/>
        <v>0</v>
      </c>
      <c r="P284" s="1213">
        <f t="shared" si="82"/>
        <v>2.1863666434777107</v>
      </c>
      <c r="Q284" s="1144">
        <f t="shared" si="83"/>
        <v>10.931833217388553</v>
      </c>
      <c r="R284" s="1212"/>
      <c r="S284" s="1214">
        <f t="shared" si="84"/>
        <v>0.6559099930433131</v>
      </c>
      <c r="T284" s="1215">
        <f t="shared" si="85"/>
        <v>4.7614308297235421</v>
      </c>
      <c r="U284" s="1216">
        <f t="shared" si="85"/>
        <v>23.807154148617713</v>
      </c>
      <c r="V284" s="1216">
        <f t="shared" si="85"/>
        <v>0</v>
      </c>
      <c r="W284" s="1217">
        <f t="shared" si="85"/>
        <v>1.4284292489170625</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5"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6"/>
      <c r="AJ12" s="1386"/>
      <c r="AK12" s="1386"/>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6"/>
      <c r="AJ13" s="1386"/>
      <c r="AK13" s="1386"/>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6"/>
      <c r="AJ14" s="1386"/>
      <c r="AK14" s="1386"/>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6"/>
      <c r="AJ15" s="1386"/>
      <c r="AK15" s="1386"/>
    </row>
    <row r="16" spans="1:37">
      <c r="AB16" s="99"/>
      <c r="AC16" s="99"/>
      <c r="AD16" s="99"/>
      <c r="AE16" s="99"/>
      <c r="AF16" s="99"/>
      <c r="AG16" s="99"/>
      <c r="AH16" s="99"/>
      <c r="AI16" s="1386"/>
      <c r="AJ16" s="1386"/>
      <c r="AK16" s="1386"/>
    </row>
    <row r="17" spans="1:171" ht="15.75" thickBot="1">
      <c r="C17" s="1" t="s">
        <v>267</v>
      </c>
      <c r="AH17" s="1"/>
      <c r="AI17" s="1386"/>
      <c r="AJ17" s="1386"/>
      <c r="AK17" s="1386"/>
    </row>
    <row r="18" spans="1:171">
      <c r="A18" s="2005" t="s">
        <v>217</v>
      </c>
      <c r="B18" s="2003" t="str">
        <f>A4</f>
        <v>Fraction of the population  burning waste (Pfrac)</v>
      </c>
      <c r="C18" s="2000" t="s">
        <v>777</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6"/>
      <c r="AJ18" s="1386"/>
      <c r="AK18" s="1386"/>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6"/>
      <c r="AJ19" s="1386"/>
      <c r="AK19" s="1386"/>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6"/>
      <c r="AJ20" s="1386"/>
      <c r="AK20" s="1386"/>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6"/>
      <c r="AJ21" s="1386"/>
      <c r="AK21" s="1386"/>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6"/>
      <c r="AJ22" s="1386"/>
      <c r="AK22" s="1386"/>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6"/>
      <c r="AJ23" s="1386"/>
      <c r="AK23" s="1386"/>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6"/>
      <c r="AJ24" s="1386"/>
      <c r="AK24" s="1386"/>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6"/>
      <c r="AJ25" s="1386"/>
      <c r="AK25" s="1386"/>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6"/>
      <c r="AJ26" s="1386"/>
      <c r="AK26" s="1386"/>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6"/>
      <c r="AJ27" s="1386"/>
      <c r="AK27" s="1386"/>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6"/>
      <c r="AJ28" s="1386"/>
      <c r="AK28" s="1386"/>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6"/>
      <c r="AJ29" s="1386"/>
      <c r="AK29" s="1386"/>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6"/>
      <c r="AJ30" s="1386"/>
      <c r="AK30" s="1386"/>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6"/>
      <c r="AJ31" s="1386"/>
      <c r="AK31" s="1386"/>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6"/>
      <c r="AJ32" s="1386"/>
      <c r="AK32" s="1386"/>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6"/>
      <c r="AJ33" s="1386"/>
      <c r="AK33" s="1386"/>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6"/>
      <c r="AJ34" s="1386"/>
      <c r="AK34" s="1386"/>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6"/>
      <c r="AJ35" s="1386"/>
      <c r="AK35" s="1386"/>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6"/>
      <c r="AJ36" s="1386"/>
      <c r="AK36" s="1386"/>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6"/>
      <c r="AJ37" s="1386"/>
      <c r="AK37" s="1386"/>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6"/>
      <c r="AJ38" s="1386"/>
      <c r="AK38" s="1386"/>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6"/>
      <c r="AJ39" s="1386"/>
      <c r="AK39" s="1386"/>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6"/>
      <c r="AJ40" s="1386"/>
      <c r="AK40" s="1386"/>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6"/>
      <c r="AJ41" s="1386"/>
      <c r="AK41" s="1386"/>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6"/>
      <c r="AJ42" s="1386"/>
      <c r="AK42" s="1386"/>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6"/>
      <c r="AJ43" s="1386"/>
      <c r="AK43" s="1386"/>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6"/>
      <c r="AJ44" s="1386"/>
      <c r="AK44" s="1386"/>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6"/>
      <c r="AJ45" s="1386"/>
      <c r="AK45" s="1386"/>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6"/>
      <c r="AJ46" s="1386"/>
      <c r="AK46" s="1386"/>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6"/>
      <c r="AJ47" s="1386"/>
      <c r="AK47" s="1386"/>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6"/>
      <c r="AJ48" s="1386"/>
      <c r="AK48" s="1386"/>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6"/>
      <c r="AJ49" s="1386"/>
      <c r="AK49" s="1386"/>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6"/>
      <c r="AJ50" s="1386"/>
      <c r="AK50" s="1386"/>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6"/>
      <c r="AJ51" s="1386"/>
      <c r="AK51" s="1386"/>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6"/>
      <c r="AJ52" s="1386"/>
      <c r="AK52" s="1386"/>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6"/>
      <c r="AJ53" s="1386"/>
      <c r="AK53" s="1386"/>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6"/>
      <c r="AJ54" s="1386"/>
      <c r="AK54" s="1386"/>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6"/>
      <c r="AJ55" s="1386"/>
      <c r="AK55" s="1386"/>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6"/>
      <c r="AJ56" s="1386"/>
      <c r="AK56" s="1386"/>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6"/>
      <c r="AJ57" s="1386"/>
      <c r="AK57" s="1386"/>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6"/>
      <c r="AJ58" s="1386"/>
      <c r="AK58" s="1386"/>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6"/>
      <c r="AJ59" s="1386"/>
      <c r="AK59" s="1386"/>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6"/>
      <c r="AJ60" s="1386"/>
      <c r="AK60" s="1386"/>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6"/>
      <c r="AJ61" s="1386"/>
      <c r="AK61" s="1386"/>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6"/>
      <c r="AJ62" s="1386"/>
      <c r="AK62" s="1386"/>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6"/>
      <c r="AJ63" s="1386"/>
      <c r="AK63" s="1386"/>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6"/>
      <c r="AJ64" s="1386"/>
      <c r="AK64" s="1386"/>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6"/>
      <c r="AJ65" s="1386"/>
      <c r="AK65" s="1386"/>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6"/>
      <c r="AJ66" s="1386"/>
      <c r="AK66" s="1386"/>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6"/>
      <c r="AJ67" s="1386"/>
      <c r="AK67" s="1386"/>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6"/>
      <c r="AJ68" s="1386"/>
      <c r="AK68" s="1386"/>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6"/>
      <c r="AJ69" s="1386"/>
      <c r="AK69" s="1386"/>
      <c r="AL69" s="104"/>
      <c r="AQ69" s="99"/>
      <c r="AR69" s="99"/>
      <c r="AS69" s="99"/>
    </row>
    <row r="70" spans="1:45">
      <c r="A70" s="483">
        <f>'Input data'!A100</f>
        <v>2000</v>
      </c>
      <c r="B70" s="1367">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68">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4">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6"/>
      <c r="AJ70" s="418"/>
      <c r="AK70" s="528"/>
      <c r="AL70" s="528"/>
      <c r="AM70" s="775"/>
      <c r="AN70" s="775"/>
      <c r="AO70" s="775"/>
      <c r="AP70" s="775"/>
      <c r="AQ70" s="939"/>
      <c r="AR70" s="938"/>
      <c r="AS70" s="99"/>
    </row>
    <row r="71" spans="1:45">
      <c r="A71" s="489">
        <f>'Input data'!A101</f>
        <v>2001</v>
      </c>
      <c r="B71" s="1367">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2">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6"/>
      <c r="AJ71" s="418"/>
      <c r="AK71" s="528"/>
      <c r="AL71" s="528"/>
      <c r="AM71" s="775"/>
      <c r="AN71" s="775"/>
      <c r="AO71" s="775"/>
      <c r="AP71" s="775"/>
      <c r="AQ71" s="939"/>
      <c r="AR71" s="938"/>
      <c r="AS71" s="99"/>
    </row>
    <row r="72" spans="1:45">
      <c r="A72" s="489">
        <f>'Input data'!A102</f>
        <v>2002</v>
      </c>
      <c r="B72" s="1367">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2">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6"/>
      <c r="AJ72" s="418"/>
      <c r="AK72" s="528"/>
      <c r="AL72" s="528"/>
      <c r="AM72" s="775"/>
      <c r="AN72" s="775"/>
      <c r="AO72" s="775"/>
      <c r="AP72" s="775"/>
      <c r="AQ72" s="939"/>
      <c r="AR72" s="938"/>
      <c r="AS72" s="99"/>
    </row>
    <row r="73" spans="1:45">
      <c r="A73" s="489">
        <f>'Input data'!A103</f>
        <v>2003</v>
      </c>
      <c r="B73" s="1367">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2">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6"/>
      <c r="AJ73" s="418"/>
      <c r="AK73" s="528"/>
      <c r="AL73" s="528"/>
      <c r="AM73" s="775"/>
      <c r="AN73" s="775"/>
      <c r="AO73" s="775"/>
      <c r="AP73" s="775"/>
      <c r="AQ73" s="939"/>
      <c r="AR73" s="938"/>
      <c r="AS73" s="99"/>
    </row>
    <row r="74" spans="1:45">
      <c r="A74" s="489">
        <f>'Input data'!A104</f>
        <v>2004</v>
      </c>
      <c r="B74" s="1367">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2">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6"/>
      <c r="AJ74" s="418"/>
      <c r="AK74" s="528"/>
      <c r="AL74" s="528"/>
      <c r="AM74" s="775"/>
      <c r="AN74" s="775"/>
      <c r="AO74" s="775"/>
      <c r="AP74" s="775"/>
      <c r="AQ74" s="939"/>
      <c r="AR74" s="938"/>
      <c r="AS74" s="99"/>
    </row>
    <row r="75" spans="1:45">
      <c r="A75" s="489">
        <f>'Input data'!A105</f>
        <v>2005</v>
      </c>
      <c r="B75" s="1367">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2">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6"/>
      <c r="AJ75" s="418"/>
      <c r="AK75" s="528"/>
      <c r="AL75" s="528"/>
      <c r="AM75" s="775"/>
      <c r="AN75" s="775"/>
      <c r="AO75" s="775"/>
      <c r="AP75" s="775"/>
      <c r="AQ75" s="939"/>
      <c r="AR75" s="938"/>
      <c r="AS75" s="99"/>
    </row>
    <row r="76" spans="1:45">
      <c r="A76" s="489">
        <f>'Input data'!A106</f>
        <v>2006</v>
      </c>
      <c r="B76" s="1367">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2">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6"/>
      <c r="AJ76" s="418"/>
      <c r="AK76" s="528"/>
      <c r="AL76" s="528"/>
      <c r="AM76" s="775"/>
      <c r="AN76" s="775"/>
      <c r="AO76" s="775"/>
      <c r="AP76" s="775"/>
      <c r="AQ76" s="939"/>
      <c r="AR76" s="938"/>
      <c r="AS76" s="99"/>
    </row>
    <row r="77" spans="1:45">
      <c r="A77" s="489">
        <f>'Input data'!A107</f>
        <v>2007</v>
      </c>
      <c r="B77" s="1367">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2">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6"/>
      <c r="AJ77" s="418"/>
      <c r="AK77" s="528"/>
      <c r="AL77" s="528"/>
      <c r="AM77" s="775"/>
      <c r="AN77" s="775"/>
      <c r="AO77" s="775"/>
      <c r="AP77" s="775"/>
      <c r="AQ77" s="939"/>
      <c r="AR77" s="938"/>
      <c r="AS77" s="99"/>
    </row>
    <row r="78" spans="1:45">
      <c r="A78" s="489">
        <f>'Input data'!A108</f>
        <v>2008</v>
      </c>
      <c r="B78" s="1367">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2">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6"/>
      <c r="AJ78" s="418"/>
      <c r="AK78" s="528"/>
      <c r="AL78" s="528"/>
      <c r="AM78" s="775"/>
      <c r="AN78" s="775"/>
      <c r="AO78" s="775"/>
      <c r="AP78" s="775"/>
      <c r="AQ78" s="939"/>
      <c r="AR78" s="938"/>
      <c r="AS78" s="99"/>
    </row>
    <row r="79" spans="1:45">
      <c r="A79" s="489">
        <f>'Input data'!A109</f>
        <v>2009</v>
      </c>
      <c r="B79" s="1367">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2">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6"/>
      <c r="AJ79" s="418"/>
      <c r="AK79" s="528"/>
      <c r="AL79" s="528"/>
      <c r="AM79" s="775"/>
      <c r="AN79" s="775"/>
      <c r="AO79" s="775"/>
      <c r="AP79" s="775"/>
      <c r="AQ79" s="939"/>
      <c r="AR79" s="938"/>
      <c r="AS79" s="99"/>
    </row>
    <row r="80" spans="1:45">
      <c r="A80" s="489">
        <f>'Input data'!A110</f>
        <v>2010</v>
      </c>
      <c r="B80" s="1367">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2">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6"/>
      <c r="AJ80" s="418"/>
      <c r="AK80" s="528"/>
      <c r="AL80" s="528"/>
      <c r="AM80" s="775"/>
      <c r="AN80" s="775"/>
      <c r="AO80" s="775"/>
      <c r="AP80" s="775"/>
      <c r="AQ80" s="939"/>
      <c r="AR80" s="938"/>
      <c r="AS80" s="99"/>
    </row>
    <row r="81" spans="1:45">
      <c r="A81" s="489">
        <f>'Input data'!A111</f>
        <v>2011</v>
      </c>
      <c r="B81" s="1367">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2">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6"/>
      <c r="AJ81" s="418"/>
      <c r="AK81" s="528"/>
      <c r="AL81" s="528"/>
      <c r="AM81" s="775"/>
      <c r="AN81" s="775"/>
      <c r="AO81" s="775"/>
      <c r="AP81" s="775"/>
      <c r="AQ81" s="939"/>
      <c r="AR81" s="938"/>
      <c r="AS81" s="99"/>
    </row>
    <row r="82" spans="1:45">
      <c r="A82" s="489">
        <f>'Input data'!A112</f>
        <v>2012</v>
      </c>
      <c r="B82" s="1367">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2">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6"/>
      <c r="AJ82" s="418"/>
      <c r="AK82" s="528"/>
      <c r="AL82" s="528"/>
      <c r="AM82" s="775"/>
      <c r="AN82" s="775"/>
      <c r="AO82" s="775"/>
      <c r="AP82" s="775"/>
      <c r="AQ82" s="939"/>
      <c r="AR82" s="938"/>
      <c r="AS82" s="99"/>
    </row>
    <row r="83" spans="1:45">
      <c r="A83" s="489">
        <f>'Input data'!A113</f>
        <v>2013</v>
      </c>
      <c r="B83" s="1367">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2">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6"/>
      <c r="AJ83" s="418"/>
      <c r="AK83" s="528"/>
      <c r="AL83" s="528"/>
      <c r="AM83" s="775"/>
      <c r="AN83" s="775"/>
      <c r="AO83" s="775"/>
      <c r="AP83" s="775"/>
      <c r="AQ83" s="939"/>
      <c r="AR83" s="938"/>
      <c r="AS83" s="99"/>
    </row>
    <row r="84" spans="1:45">
      <c r="A84" s="489">
        <f>'Input data'!A114</f>
        <v>2014</v>
      </c>
      <c r="B84" s="1367">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2">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6"/>
      <c r="AJ84" s="418"/>
      <c r="AK84" s="528"/>
      <c r="AL84" s="528"/>
      <c r="AM84" s="775"/>
      <c r="AN84" s="775"/>
      <c r="AO84" s="775"/>
      <c r="AP84" s="775"/>
      <c r="AQ84" s="939"/>
      <c r="AR84" s="938"/>
      <c r="AS84" s="99"/>
    </row>
    <row r="85" spans="1:45">
      <c r="A85" s="489">
        <f>'Input data'!A115</f>
        <v>2015</v>
      </c>
      <c r="B85" s="1367">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2">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6"/>
      <c r="AJ85" s="418"/>
      <c r="AK85" s="528"/>
      <c r="AL85" s="528"/>
      <c r="AM85" s="775"/>
      <c r="AN85" s="775"/>
      <c r="AO85" s="775"/>
      <c r="AP85" s="775"/>
      <c r="AQ85" s="939"/>
      <c r="AR85" s="938"/>
      <c r="AS85" s="99"/>
    </row>
    <row r="86" spans="1:45">
      <c r="A86" s="489">
        <f>'Input data'!A116</f>
        <v>2016</v>
      </c>
      <c r="B86" s="1367">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2">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6"/>
      <c r="AJ86" s="418"/>
      <c r="AK86" s="528"/>
      <c r="AL86" s="528"/>
      <c r="AM86" s="775"/>
      <c r="AN86" s="775"/>
      <c r="AO86" s="775"/>
      <c r="AP86" s="775"/>
      <c r="AQ86" s="939"/>
      <c r="AR86" s="938"/>
      <c r="AS86" s="99"/>
    </row>
    <row r="87" spans="1:45" ht="15.75" thickBot="1">
      <c r="A87" s="489">
        <f>'Input data'!A117</f>
        <v>2017</v>
      </c>
      <c r="B87" s="1367">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69">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5">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6"/>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0"/>
      <c r="T88" s="1370"/>
      <c r="U88" s="1370"/>
      <c r="V88" s="1370"/>
      <c r="W88" s="1370"/>
      <c r="X88" s="1370"/>
      <c r="Y88" s="1370"/>
      <c r="Z88" s="1371"/>
      <c r="AA88" s="946"/>
      <c r="AB88" s="946"/>
      <c r="AC88" s="946"/>
      <c r="AD88" s="946"/>
      <c r="AE88" s="946"/>
      <c r="AF88" s="946"/>
      <c r="AG88" s="946"/>
      <c r="AH88" s="947"/>
      <c r="AI88" s="1386"/>
      <c r="AJ88" s="1386"/>
      <c r="AK88" s="1386"/>
      <c r="AQ88" s="99"/>
      <c r="AR88" s="99"/>
      <c r="AS88" s="99"/>
    </row>
    <row r="89" spans="1:45">
      <c r="A89" s="483">
        <f>'Input data'!A118</f>
        <v>2018</v>
      </c>
      <c r="B89" s="1631">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6">
        <f>'4C2 Open-burning '!C$14*'4C2 Open-burning '!$C$5*'4C2 Open-burning '!$C$6*'4C2 Open-burning '!$C$7*C89</f>
        <v>0</v>
      </c>
      <c r="L89" s="1376">
        <f>'4C2 Open-burning '!D$14*'4C2 Open-burning '!$C$5*'4C2 Open-burning '!$C$6*'4C2 Open-burning '!$C$7*D89</f>
        <v>0</v>
      </c>
      <c r="M89" s="1376">
        <f>'4C2 Open-burning '!E$14*'4C2 Open-burning '!$C$5*'4C2 Open-burning '!$C$6*'4C2 Open-burning '!$C$7*E89</f>
        <v>1.2412560579853615</v>
      </c>
      <c r="N89" s="1376">
        <f>'4C2 Open-burning '!F$14*'4C2 Open-burning '!$C$5*'4C2 Open-burning '!$C$6*'4C2 Open-burning '!$C$7*F89</f>
        <v>0</v>
      </c>
      <c r="O89" s="1376">
        <f>'4C2 Open-burning '!G$14*'4C2 Open-burning '!$C$5*'4C2 Open-burning '!$C$6*'4C2 Open-burning '!$C$7*G89</f>
        <v>0</v>
      </c>
      <c r="P89" s="1376">
        <f>'4C2 Open-burning '!H$14*'4C2 Open-burning '!$C$5*'4C2 Open-burning '!$C$6*'4C2 Open-burning '!$C$7*H89</f>
        <v>0</v>
      </c>
      <c r="Q89" s="1376">
        <f>'4C2 Open-burning '!I$14*'4C2 Open-burning '!$C$5*'4C2 Open-burning '!$C$6*'4C2 Open-burning '!$C$7*I89</f>
        <v>31.649248248935674</v>
      </c>
      <c r="R89" s="1377">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6"/>
      <c r="AJ89" s="1386"/>
      <c r="AK89" s="1386"/>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78">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6"/>
      <c r="AJ90" s="1386"/>
      <c r="AK90" s="1386"/>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78">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6"/>
      <c r="AJ91" s="1386"/>
      <c r="AK91" s="1386"/>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78">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6"/>
      <c r="AJ92" s="1386"/>
      <c r="AK92" s="1386"/>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78">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6"/>
      <c r="AJ93" s="1386"/>
      <c r="AK93" s="1386"/>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78">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6"/>
      <c r="AJ94" s="1386"/>
      <c r="AK94" s="1386"/>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78">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6"/>
      <c r="AJ95" s="1386"/>
      <c r="AK95" s="1386"/>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78">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6"/>
      <c r="AJ96" s="1386"/>
      <c r="AK96" s="1386"/>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78">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6"/>
      <c r="AJ97" s="1386"/>
      <c r="AK97" s="1386"/>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78">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7"/>
      <c r="AJ98" s="1386"/>
      <c r="AK98" s="1387"/>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78">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7"/>
      <c r="AJ99" s="1386"/>
      <c r="AK99" s="1387"/>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78">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7"/>
      <c r="AJ100" s="1386"/>
      <c r="AK100" s="1387"/>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78">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7"/>
      <c r="AJ101" s="1386"/>
      <c r="AK101" s="1387"/>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78">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7"/>
      <c r="AJ102" s="1386"/>
      <c r="AK102" s="1387"/>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78">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7"/>
      <c r="AJ103" s="1386"/>
      <c r="AK103" s="1387"/>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78">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7"/>
      <c r="AJ104" s="1386"/>
      <c r="AK104" s="1387"/>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78">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7"/>
      <c r="AJ105" s="1386"/>
      <c r="AK105" s="1387"/>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78">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7"/>
      <c r="AJ106" s="1386"/>
      <c r="AK106" s="1387"/>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78">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7"/>
      <c r="AJ107" s="1386"/>
      <c r="AK107" s="1387"/>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78">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7"/>
      <c r="AJ108" s="1386"/>
      <c r="AK108" s="1387"/>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78">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7"/>
      <c r="AJ109" s="1386"/>
      <c r="AK109" s="1387"/>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78">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7"/>
      <c r="AJ110" s="1386"/>
      <c r="AK110" s="1387"/>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78">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7"/>
      <c r="AJ111" s="1386"/>
      <c r="AK111" s="1387"/>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78">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7"/>
      <c r="AJ112" s="1386"/>
      <c r="AK112" s="1387"/>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78">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7"/>
      <c r="AJ113" s="1386"/>
      <c r="AK113" s="1387"/>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78">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7"/>
      <c r="AJ114" s="1386"/>
      <c r="AK114" s="1387"/>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78">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7"/>
      <c r="AJ115" s="1386"/>
      <c r="AK115" s="1387"/>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78">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7"/>
      <c r="AJ116" s="1386"/>
      <c r="AK116" s="1387"/>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78">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7"/>
      <c r="AJ117" s="1386"/>
      <c r="AK117" s="1387"/>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78">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7"/>
      <c r="AJ118" s="1386"/>
      <c r="AK118" s="1387"/>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78">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7"/>
      <c r="AJ119" s="1386"/>
      <c r="AK119" s="1387"/>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78">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7"/>
      <c r="AJ120" s="1386"/>
      <c r="AK120" s="1387"/>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0">
        <f>'4C2 Open-burning '!C$14*'4C2 Open-burning '!$C$5*'4C2 Open-burning '!$C$6*'4C2 Open-burning '!$C$7*C121</f>
        <v>0</v>
      </c>
      <c r="L121" s="1370">
        <f>'4C2 Open-burning '!D$14*'4C2 Open-burning '!$C$5*'4C2 Open-burning '!$C$6*'4C2 Open-burning '!$C$7*D121</f>
        <v>0</v>
      </c>
      <c r="M121" s="1370">
        <f>'4C2 Open-burning '!E$14*'4C2 Open-burning '!$C$5*'4C2 Open-burning '!$C$6*'4C2 Open-burning '!$C$7*E121</f>
        <v>0.32003528018995359</v>
      </c>
      <c r="N121" s="1370">
        <f>'4C2 Open-burning '!F$14*'4C2 Open-burning '!$C$5*'4C2 Open-burning '!$C$6*'4C2 Open-burning '!$C$7*F121</f>
        <v>0</v>
      </c>
      <c r="O121" s="1370">
        <f>'4C2 Open-burning '!G$14*'4C2 Open-burning '!$C$5*'4C2 Open-burning '!$C$6*'4C2 Open-burning '!$C$7*G121</f>
        <v>0</v>
      </c>
      <c r="P121" s="1370">
        <f>'4C2 Open-burning '!H$14*'4C2 Open-burning '!$C$5*'4C2 Open-burning '!$C$6*'4C2 Open-burning '!$C$7*H121</f>
        <v>0</v>
      </c>
      <c r="Q121" s="1370">
        <f>'4C2 Open-burning '!I$14*'4C2 Open-burning '!$C$5*'4C2 Open-burning '!$C$6*'4C2 Open-burning '!$C$7*I121</f>
        <v>8.1601825553942042</v>
      </c>
      <c r="R121" s="1379">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7"/>
      <c r="AJ121" s="1386"/>
      <c r="AK121" s="1387"/>
    </row>
    <row r="122" spans="1:37" ht="21.75" thickBot="1">
      <c r="A122" s="950" t="s">
        <v>621</v>
      </c>
      <c r="B122" s="797"/>
      <c r="C122" s="528"/>
      <c r="D122" s="938"/>
      <c r="E122" s="938"/>
      <c r="F122" s="938"/>
      <c r="G122" s="938"/>
      <c r="H122" s="938"/>
      <c r="I122" s="938"/>
      <c r="J122" s="939"/>
      <c r="K122" s="1370"/>
      <c r="L122" s="1370"/>
      <c r="M122" s="1370"/>
      <c r="N122" s="1370"/>
      <c r="O122" s="1370"/>
      <c r="P122" s="1370"/>
      <c r="Q122" s="1370"/>
      <c r="R122" s="1371"/>
      <c r="S122" s="944"/>
      <c r="T122" s="944"/>
      <c r="U122" s="944"/>
      <c r="V122" s="944"/>
      <c r="W122" s="944"/>
      <c r="X122" s="944"/>
      <c r="Y122" s="944"/>
      <c r="Z122" s="945"/>
      <c r="AA122" s="946"/>
      <c r="AB122" s="946"/>
      <c r="AC122" s="946"/>
      <c r="AD122" s="946"/>
      <c r="AE122" s="946"/>
      <c r="AF122" s="946"/>
      <c r="AG122" s="946"/>
      <c r="AH122" s="947"/>
      <c r="AI122" s="1387"/>
      <c r="AJ122" s="1386"/>
      <c r="AK122" s="1387"/>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0">
        <f>'4C2 Open-burning '!C$14*'4C2 Open-burning '!$C$5*'4C2 Open-burning '!$C$6*'4C2 Open-burning '!$C$7*C123</f>
        <v>0</v>
      </c>
      <c r="L123" s="1380">
        <f>'4C2 Open-burning '!D$14*'4C2 Open-burning '!$C$5*'4C2 Open-burning '!$C$6*'4C2 Open-burning '!$C$7*D123</f>
        <v>0</v>
      </c>
      <c r="M123" s="1380">
        <f>'4C2 Open-burning '!E$14*'4C2 Open-burning '!$C$5*'4C2 Open-burning '!$C$6*'4C2 Open-burning '!$C$7*E123</f>
        <v>1.2422577936755286</v>
      </c>
      <c r="N123" s="1380">
        <f>'4C2 Open-burning '!F$14*'4C2 Open-burning '!$C$5*'4C2 Open-burning '!$C$6*'4C2 Open-burning '!$C$7*F123</f>
        <v>0</v>
      </c>
      <c r="O123" s="1380">
        <f>'4C2 Open-burning '!G$14*'4C2 Open-burning '!$C$5*'4C2 Open-burning '!$C$6*'4C2 Open-burning '!$C$7*G123</f>
        <v>0</v>
      </c>
      <c r="P123" s="1380">
        <f>'4C2 Open-burning '!H$14*'4C2 Open-burning '!$C$5*'4C2 Open-burning '!$C$6*'4C2 Open-burning '!$C$7*H123</f>
        <v>0</v>
      </c>
      <c r="Q123" s="1380">
        <f>'4C2 Open-burning '!I$14*'4C2 Open-burning '!$C$5*'4C2 Open-burning '!$C$6*'4C2 Open-burning '!$C$7*I123</f>
        <v>31.674790264488351</v>
      </c>
      <c r="R123" s="1381">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7"/>
      <c r="AJ123" s="1386"/>
      <c r="AK123" s="1387"/>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2">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7"/>
      <c r="AJ124" s="1386"/>
      <c r="AK124" s="1387"/>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2">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7"/>
      <c r="AJ125" s="1386"/>
      <c r="AK125" s="1387"/>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2">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7"/>
      <c r="AJ126" s="1386"/>
      <c r="AK126" s="1387"/>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2">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7"/>
      <c r="AJ127" s="1386"/>
      <c r="AK127" s="1387"/>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2">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7"/>
      <c r="AJ128" s="1386"/>
      <c r="AK128" s="1387"/>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2">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7"/>
      <c r="AJ129" s="1386"/>
      <c r="AK129" s="1387"/>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2">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7"/>
      <c r="AJ130" s="1386"/>
      <c r="AK130" s="1387"/>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2">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7"/>
      <c r="AJ131" s="1386"/>
      <c r="AK131" s="1387"/>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2">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7"/>
      <c r="AJ132" s="1386"/>
      <c r="AK132" s="1387"/>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2">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7"/>
      <c r="AJ133" s="1386"/>
      <c r="AK133" s="1387"/>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2">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7"/>
      <c r="AJ134" s="1386"/>
      <c r="AK134" s="1387"/>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2">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7"/>
      <c r="AJ135" s="1386"/>
      <c r="AK135" s="1387"/>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2">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7"/>
      <c r="AJ136" s="1386"/>
      <c r="AK136" s="1387"/>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2">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7"/>
      <c r="AJ137" s="1386"/>
      <c r="AK137" s="1387"/>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2">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7"/>
      <c r="AJ138" s="1386"/>
      <c r="AK138" s="1387"/>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2">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7"/>
      <c r="AJ139" s="1386"/>
      <c r="AK139" s="1387"/>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2">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7"/>
      <c r="AJ140" s="1386"/>
      <c r="AK140" s="1387"/>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2">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7"/>
      <c r="AJ141" s="1386"/>
      <c r="AK141" s="1387"/>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2">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7"/>
      <c r="AJ142" s="1386"/>
      <c r="AK142" s="1387"/>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2">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7"/>
      <c r="AJ143" s="1386"/>
      <c r="AK143" s="1387"/>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2">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7"/>
      <c r="AJ144" s="1386"/>
      <c r="AK144" s="1387"/>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2">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7"/>
      <c r="AJ145" s="1386"/>
      <c r="AK145" s="1387"/>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2">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7"/>
      <c r="AJ146" s="1386"/>
      <c r="AK146" s="1387"/>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2">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7"/>
      <c r="AJ147" s="1386"/>
      <c r="AK147" s="1387"/>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2">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7"/>
      <c r="AJ148" s="1386"/>
      <c r="AK148" s="1387"/>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2">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7"/>
      <c r="AJ149" s="1386"/>
      <c r="AK149" s="1387"/>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2">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7"/>
      <c r="AJ150" s="1386"/>
      <c r="AK150" s="1387"/>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2">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7"/>
      <c r="AJ151" s="1386"/>
      <c r="AK151" s="1387"/>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2">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7"/>
      <c r="AJ152" s="1386"/>
      <c r="AK152" s="1387"/>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2">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7"/>
      <c r="AJ153" s="1386"/>
      <c r="AK153" s="1387"/>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2">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7"/>
      <c r="AJ154" s="1386"/>
      <c r="AK154" s="1387"/>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3">
        <f>'4C2 Open-burning '!C$14*'4C2 Open-burning '!$C$5*'4C2 Open-burning '!$C$6*'4C2 Open-burning '!$C$7*C155</f>
        <v>0</v>
      </c>
      <c r="L155" s="1383">
        <f>'4C2 Open-burning '!D$14*'4C2 Open-burning '!$C$5*'4C2 Open-burning '!$C$6*'4C2 Open-burning '!$C$7*D155</f>
        <v>0</v>
      </c>
      <c r="M155" s="1383">
        <f>'4C2 Open-burning '!E$14*'4C2 Open-burning '!$C$5*'4C2 Open-burning '!$C$6*'4C2 Open-burning '!$C$7*E155</f>
        <v>0.37566132180355827</v>
      </c>
      <c r="N155" s="1383">
        <f>'4C2 Open-burning '!F$14*'4C2 Open-burning '!$C$5*'4C2 Open-burning '!$C$6*'4C2 Open-burning '!$C$7*F155</f>
        <v>0</v>
      </c>
      <c r="O155" s="1383">
        <f>'4C2 Open-burning '!G$14*'4C2 Open-burning '!$C$5*'4C2 Open-burning '!$C$6*'4C2 Open-burning '!$C$7*G155</f>
        <v>0</v>
      </c>
      <c r="P155" s="1383">
        <f>'4C2 Open-burning '!H$14*'4C2 Open-burning '!$C$5*'4C2 Open-burning '!$C$6*'4C2 Open-burning '!$C$7*H155</f>
        <v>0</v>
      </c>
      <c r="Q155" s="1383">
        <f>'4C2 Open-burning '!I$14*'4C2 Open-burning '!$C$5*'4C2 Open-burning '!$C$6*'4C2 Open-burning '!$C$7*I155</f>
        <v>9.5785219776340007</v>
      </c>
      <c r="R155" s="1384">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7"/>
      <c r="AJ155" s="1386"/>
      <c r="AK155" s="1387"/>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6"/>
      <c r="AJ156" s="1386"/>
      <c r="AK156" s="1386"/>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0">
        <f>'4C2 Open-burning '!C$14*'4C2 Open-burning '!$C$5*'4C2 Open-burning '!$C$6*'4C2 Open-burning '!$C$7*C157</f>
        <v>0</v>
      </c>
      <c r="L157" s="1380">
        <f>'4C2 Open-burning '!D$14*'4C2 Open-burning '!$C$5*'4C2 Open-burning '!$C$6*'4C2 Open-burning '!$C$7*D157</f>
        <v>0</v>
      </c>
      <c r="M157" s="1380">
        <f>'4C2 Open-burning '!E$14*'4C2 Open-burning '!$C$5*'4C2 Open-burning '!$C$6*'4C2 Open-burning '!$C$7*E157</f>
        <v>1.2422577936755286</v>
      </c>
      <c r="N157" s="1380">
        <f>'4C2 Open-burning '!F$14*'4C2 Open-burning '!$C$5*'4C2 Open-burning '!$C$6*'4C2 Open-burning '!$C$7*F157</f>
        <v>0</v>
      </c>
      <c r="O157" s="1380">
        <f>'4C2 Open-burning '!G$14*'4C2 Open-burning '!$C$5*'4C2 Open-burning '!$C$6*'4C2 Open-burning '!$C$7*G157</f>
        <v>0</v>
      </c>
      <c r="P157" s="1380">
        <f>'4C2 Open-burning '!H$14*'4C2 Open-burning '!$C$5*'4C2 Open-burning '!$C$6*'4C2 Open-burning '!$C$7*H157</f>
        <v>0</v>
      </c>
      <c r="Q157" s="1380">
        <f>'4C2 Open-burning '!I$14*'4C2 Open-burning '!$C$5*'4C2 Open-burning '!$C$6*'4C2 Open-burning '!$C$7*I157</f>
        <v>31.674790264488347</v>
      </c>
      <c r="R157" s="1381">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6">
        <f>C157*'4C2 Open-burning '!$C$10*'4C2 Open-burning '!$C$11*$C$5*C$15</f>
        <v>2.9677287575364933E-2</v>
      </c>
      <c r="AB157" s="1627">
        <f>D157*'4C2 Open-burning '!$C$10*'4C2 Open-burning '!$C$11*$C$5*D$15</f>
        <v>3.0995114278432129E-2</v>
      </c>
      <c r="AC157" s="1627">
        <f>E157*'4C2 Open-burning '!$C$10*'4C2 Open-burning '!$C$11*$C$5*E$15</f>
        <v>1.9047839960269448E-2</v>
      </c>
      <c r="AD157" s="1627">
        <f>F157*'4C2 Open-burning '!$C$10*'4C2 Open-burning '!$C$11*$C$5*F$15</f>
        <v>0</v>
      </c>
      <c r="AE157" s="1627">
        <f>G157*'4C2 Open-burning '!$C$10*'4C2 Open-burning '!$C$11*$C$5*G$15</f>
        <v>0</v>
      </c>
      <c r="AF157" s="1627">
        <f>H157*'4C2 Open-burning '!$C$10*'4C2 Open-burning '!$C$11*$C$5*H$15</f>
        <v>0</v>
      </c>
      <c r="AG157" s="1627">
        <f>I157*'4C2 Open-burning '!$C$10*'4C2 Open-burning '!$C$11*$C$5*I$15</f>
        <v>7.4470510026226525E-2</v>
      </c>
      <c r="AH157" s="937">
        <f t="shared" ref="AH157:AH189" si="18">SUM(AA157:AG157)</f>
        <v>0.15419075184029302</v>
      </c>
      <c r="AI157" s="1386"/>
      <c r="AJ157" s="1386"/>
      <c r="AK157" s="1386"/>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2">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28">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6"/>
      <c r="AJ158" s="1386"/>
      <c r="AK158" s="1386"/>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2">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28">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6"/>
      <c r="AJ159" s="1386"/>
      <c r="AK159" s="1386"/>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2">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28">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6"/>
      <c r="AJ160" s="1386"/>
      <c r="AK160" s="1386"/>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2">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28">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6"/>
      <c r="AJ161" s="1386"/>
      <c r="AK161" s="1386"/>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2">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28">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6"/>
      <c r="AJ162" s="1386"/>
      <c r="AK162" s="1386"/>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2">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28">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6"/>
      <c r="AJ163" s="1386"/>
      <c r="AK163" s="1386"/>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2">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28">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6"/>
      <c r="AJ164" s="1386"/>
      <c r="AK164" s="1386"/>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2">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28">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6"/>
      <c r="AJ165" s="1386"/>
      <c r="AK165" s="1386"/>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2">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28">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6"/>
      <c r="AJ166" s="1386"/>
      <c r="AK166" s="1386"/>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2">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28">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6"/>
      <c r="AJ167" s="1386"/>
      <c r="AK167" s="1386"/>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2">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28">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6"/>
      <c r="AJ168" s="1386"/>
      <c r="AK168" s="1386"/>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2">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28">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6"/>
      <c r="AJ169" s="1386"/>
      <c r="AK169" s="1386"/>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2">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28">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6"/>
      <c r="AJ170" s="1386"/>
      <c r="AK170" s="1386"/>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2">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28">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6"/>
      <c r="AJ171" s="1386"/>
      <c r="AK171" s="1386"/>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2">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28">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6"/>
      <c r="AJ172" s="1386"/>
      <c r="AK172" s="1386"/>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2">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28">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6"/>
      <c r="AJ173" s="1386"/>
      <c r="AK173" s="1386"/>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2">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28">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6"/>
      <c r="AJ174" s="1386"/>
      <c r="AK174" s="1386"/>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2">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28">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6"/>
      <c r="AJ175" s="1386"/>
      <c r="AK175" s="1386"/>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2">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28">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6"/>
      <c r="AJ176" s="1386"/>
      <c r="AK176" s="1386"/>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2">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28">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6"/>
      <c r="AJ177" s="1386"/>
      <c r="AK177" s="1386"/>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2">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28">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6"/>
      <c r="AJ178" s="1386"/>
      <c r="AK178" s="1386"/>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2">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28">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6"/>
      <c r="AJ179" s="1386"/>
      <c r="AK179" s="1386"/>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2">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28">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6"/>
      <c r="AJ180" s="1386"/>
      <c r="AK180" s="1386"/>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2">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28">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6"/>
      <c r="AJ181" s="1386"/>
      <c r="AK181" s="1386"/>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2">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28">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6"/>
      <c r="AJ182" s="1386"/>
      <c r="AK182" s="1386"/>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2">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28">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6"/>
      <c r="AJ183" s="1386"/>
      <c r="AK183" s="1386"/>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2">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28">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6"/>
      <c r="AJ184" s="1386"/>
      <c r="AK184" s="1386"/>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2">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28">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6"/>
      <c r="AJ185" s="1386"/>
      <c r="AK185" s="1386"/>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2">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28">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6"/>
      <c r="AJ186" s="1386"/>
      <c r="AK186" s="1386"/>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2">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28">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6"/>
      <c r="AJ187" s="1386"/>
      <c r="AK187" s="1386"/>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2">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28">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6"/>
      <c r="AJ188" s="1386"/>
      <c r="AK188" s="1386"/>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3">
        <f>'4C2 Open-burning '!C$14*'4C2 Open-burning '!$C$5*'4C2 Open-burning '!$C$6*'4C2 Open-burning '!$C$7*C189</f>
        <v>0</v>
      </c>
      <c r="L189" s="1383">
        <f>'4C2 Open-burning '!D$14*'4C2 Open-burning '!$C$5*'4C2 Open-burning '!$C$6*'4C2 Open-burning '!$C$7*D189</f>
        <v>0</v>
      </c>
      <c r="M189" s="1383">
        <f>'4C2 Open-burning '!E$14*'4C2 Open-burning '!$C$5*'4C2 Open-burning '!$C$6*'4C2 Open-burning '!$C$7*E189</f>
        <v>0.37566132180355827</v>
      </c>
      <c r="N189" s="1383">
        <f>'4C2 Open-burning '!F$14*'4C2 Open-burning '!$C$5*'4C2 Open-burning '!$C$6*'4C2 Open-burning '!$C$7*F189</f>
        <v>0</v>
      </c>
      <c r="O189" s="1383">
        <f>'4C2 Open-burning '!G$14*'4C2 Open-burning '!$C$5*'4C2 Open-burning '!$C$6*'4C2 Open-burning '!$C$7*G189</f>
        <v>0</v>
      </c>
      <c r="P189" s="1383">
        <f>'4C2 Open-burning '!H$14*'4C2 Open-burning '!$C$5*'4C2 Open-burning '!$C$6*'4C2 Open-burning '!$C$7*H189</f>
        <v>0</v>
      </c>
      <c r="Q189" s="1383">
        <f>'4C2 Open-burning '!I$14*'4C2 Open-burning '!$C$5*'4C2 Open-burning '!$C$6*'4C2 Open-burning '!$C$7*I189</f>
        <v>9.5785219776340007</v>
      </c>
      <c r="R189" s="1384">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29">
        <f>C189*'4C2 Open-burning '!$C$10*'4C2 Open-burning '!$C$11*$C$5*C$15</f>
        <v>8.9744730400281702E-3</v>
      </c>
      <c r="AB189" s="1630">
        <f>D189*'4C2 Open-burning '!$C$10*'4C2 Open-burning '!$C$11*$C$5*D$15</f>
        <v>9.3729865560653724E-3</v>
      </c>
      <c r="AC189" s="1630">
        <f>E189*'4C2 Open-burning '!$C$10*'4C2 Open-burning '!$C$11*$C$5*E$15</f>
        <v>5.7601061336922865E-3</v>
      </c>
      <c r="AD189" s="1630">
        <f>F189*'4C2 Open-burning '!$C$10*'4C2 Open-burning '!$C$11*$C$5*F$15</f>
        <v>0</v>
      </c>
      <c r="AE189" s="1630">
        <f>G189*'4C2 Open-burning '!$C$10*'4C2 Open-burning '!$C$11*$C$5*G$15</f>
        <v>0</v>
      </c>
      <c r="AF189" s="1630">
        <f>H189*'4C2 Open-burning '!$C$10*'4C2 Open-burning '!$C$11*$C$5*H$15</f>
        <v>0</v>
      </c>
      <c r="AG189" s="1630">
        <f>I189*'4C2 Open-burning '!$C$10*'4C2 Open-burning '!$C$11*$C$5*I$15</f>
        <v>2.2520035997572106E-2</v>
      </c>
      <c r="AH189" s="493">
        <f t="shared" si="18"/>
        <v>4.6627601727357935E-2</v>
      </c>
      <c r="AI189" s="1386"/>
      <c r="AJ189" s="1386"/>
      <c r="AK189" s="1386"/>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6"/>
      <c r="AJ190" s="1388"/>
      <c r="AK190" s="1386"/>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6"/>
      <c r="AJ191" s="1388"/>
      <c r="AK191" s="1386"/>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6"/>
      <c r="AJ192" s="1388"/>
      <c r="AK192" s="1386"/>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6"/>
      <c r="AJ193" s="1388"/>
      <c r="AK193" s="1386"/>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6"/>
      <c r="AJ194" s="1388"/>
      <c r="AK194" s="1386"/>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6"/>
      <c r="AJ195" s="1388"/>
      <c r="AK195" s="1386"/>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6"/>
      <c r="AJ196" s="1388"/>
      <c r="AK196" s="1386"/>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6"/>
      <c r="AJ197" s="1388"/>
      <c r="AK197" s="1386"/>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6"/>
      <c r="AJ198" s="1388"/>
      <c r="AK198" s="1386"/>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6"/>
      <c r="AJ199" s="1388"/>
      <c r="AK199" s="1386"/>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6"/>
      <c r="AJ200" s="1388"/>
      <c r="AK200" s="1386"/>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6"/>
      <c r="AJ201" s="1388"/>
      <c r="AK201" s="1386"/>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6"/>
      <c r="AJ202" s="1388"/>
      <c r="AK202" s="1386"/>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6"/>
      <c r="AJ203" s="1388"/>
      <c r="AK203" s="1386"/>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88"/>
      <c r="AJ204" s="1388"/>
      <c r="AK204" s="1388"/>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88"/>
      <c r="AJ205" s="1388"/>
      <c r="AK205" s="1388"/>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08" t="s">
        <v>6</v>
      </c>
      <c r="I55" s="1809"/>
      <c r="J55" s="1809"/>
      <c r="K55" s="1809"/>
      <c r="L55" s="1809"/>
      <c r="M55" s="1897"/>
      <c r="N55" s="1808" t="s">
        <v>298</v>
      </c>
      <c r="O55" s="1809"/>
      <c r="P55" s="1809"/>
      <c r="Q55" s="1809"/>
      <c r="R55" s="1809"/>
      <c r="S55" s="1897"/>
      <c r="T55" s="1808" t="s">
        <v>299</v>
      </c>
      <c r="U55" s="1809"/>
      <c r="V55" s="1809"/>
      <c r="W55" s="1809"/>
      <c r="X55" s="1809"/>
      <c r="Y55" s="1897"/>
      <c r="Z55" s="2007" t="s">
        <v>308</v>
      </c>
      <c r="AA55" s="1888"/>
      <c r="AB55" s="1888"/>
      <c r="AC55" s="1888"/>
      <c r="AD55" s="1888"/>
      <c r="AE55" s="1888"/>
      <c r="AF55" s="1889"/>
      <c r="AG55" s="2007" t="s">
        <v>307</v>
      </c>
      <c r="AH55" s="1888"/>
      <c r="AI55" s="1888"/>
      <c r="AJ55" s="1888"/>
      <c r="AK55" s="1888"/>
      <c r="AL55" s="1888"/>
      <c r="AM55" s="1889"/>
      <c r="AN55" s="2007" t="s">
        <v>306</v>
      </c>
      <c r="AO55" s="1888"/>
      <c r="AP55" s="1888"/>
      <c r="AQ55" s="1888"/>
      <c r="AR55" s="1888"/>
      <c r="AS55" s="1888"/>
      <c r="AT55" s="1889"/>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4">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4">
        <f t="shared" ref="AT160:AT192" si="153">SUM(AN160:AS160)</f>
        <v>101794231.28593577</v>
      </c>
      <c r="AU160" s="1435">
        <v>0</v>
      </c>
      <c r="AV160" s="1436">
        <f>(AF160+AM160+AT160)/10^6-AU160</f>
        <v>137.16052165703309</v>
      </c>
      <c r="AW160" s="1437">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38"/>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1"/>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09"/>
      <c r="C42" s="1409"/>
      <c r="D42" s="1409"/>
      <c r="E42" s="1409"/>
      <c r="F42" s="1409"/>
      <c r="G42" s="1409"/>
      <c r="H42" s="1409"/>
      <c r="I42" s="1409"/>
      <c r="J42" s="1410"/>
    </row>
    <row r="43" spans="1:15" ht="30">
      <c r="A43" s="40" t="s">
        <v>103</v>
      </c>
      <c r="B43" s="1408" t="s">
        <v>83</v>
      </c>
      <c r="C43" s="1408" t="s">
        <v>85</v>
      </c>
      <c r="D43" s="1408" t="s">
        <v>87</v>
      </c>
      <c r="E43" s="1408" t="s">
        <v>89</v>
      </c>
      <c r="F43" s="1408" t="s">
        <v>91</v>
      </c>
      <c r="G43" s="1408" t="s">
        <v>93</v>
      </c>
      <c r="H43" s="1408" t="s">
        <v>107</v>
      </c>
      <c r="I43" s="1408" t="s">
        <v>104</v>
      </c>
      <c r="J43" s="1408"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6">
        <v>0</v>
      </c>
      <c r="C48" s="1406">
        <v>0</v>
      </c>
      <c r="D48" s="1406">
        <v>0.01</v>
      </c>
      <c r="E48" s="1406">
        <v>0</v>
      </c>
      <c r="F48" s="1406">
        <v>0.2</v>
      </c>
      <c r="G48" s="1406">
        <v>0.1</v>
      </c>
      <c r="H48" s="1406">
        <v>1</v>
      </c>
      <c r="I48" s="11">
        <v>1</v>
      </c>
      <c r="J48" s="11">
        <v>0</v>
      </c>
      <c r="K48" s="11">
        <v>0</v>
      </c>
      <c r="L48" s="11">
        <v>1</v>
      </c>
    </row>
    <row r="49" spans="1:20">
      <c r="A49" s="16"/>
      <c r="B49" s="1407"/>
      <c r="C49" s="1407"/>
      <c r="D49" s="1407"/>
      <c r="E49" s="1407"/>
      <c r="F49" s="1407"/>
      <c r="G49" s="1407"/>
      <c r="H49" s="1407"/>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bruno@sustainable.org.za</cp:lastModifiedBy>
  <dcterms:created xsi:type="dcterms:W3CDTF">2020-04-24T15:45:05Z</dcterms:created>
  <dcterms:modified xsi:type="dcterms:W3CDTF">2022-06-22T20:18:52Z</dcterms:modified>
</cp:coreProperties>
</file>