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5152564F-F11B-4DF8-AFE4-8B7F974F074C}" xr6:coauthVersionLast="47" xr6:coauthVersionMax="47" xr10:uidLastSave="{00000000-0000-0000-0000-000000000000}"/>
  <bookViews>
    <workbookView xWindow="2304" yWindow="2304" windowWidth="17280" windowHeight="8964"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BQ44" i="6"/>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CB101" i="17"/>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99" i="17" l="1"/>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F91" i="18" s="1"/>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S126" i="8"/>
  <c r="K126"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AQ104" i="17" l="1"/>
  <c r="BZ104" i="17"/>
  <c r="CB104" i="17"/>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H134" i="6"/>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T135" i="9" l="1"/>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BI108" i="17"/>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G108" i="17" l="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98" i="19"/>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U16" i="23" l="1"/>
  <c r="O108" i="6"/>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BB103" i="18"/>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U105" i="18" l="1"/>
  <c r="V105" i="18" s="1"/>
  <c r="BI105" i="18" s="1"/>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BB105"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D130" i="17" l="1"/>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O228" i="6" s="1"/>
  <c r="S228" i="6" s="1"/>
  <c r="BD57" i="6" s="1"/>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R99" i="6" s="1"/>
  <c r="AK30" i="6" s="1"/>
  <c r="AC88" i="18"/>
  <c r="AE88" i="18" s="1"/>
  <c r="AF88" i="18" s="1"/>
  <c r="BC88" i="18" s="1"/>
  <c r="BE88" i="18" s="1"/>
  <c r="BG88" i="18" s="1"/>
  <c r="C97" i="6" s="1"/>
  <c r="L97" i="6" s="1"/>
  <c r="Q97" i="6" s="1"/>
  <c r="AJ28" i="6" s="1"/>
  <c r="AB88" i="18"/>
  <c r="AD88" i="18" s="1"/>
  <c r="BS31" i="6"/>
  <c r="AP29" i="6"/>
  <c r="M100" i="6" l="1"/>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BS34" i="6"/>
  <c r="AP32" i="6"/>
  <c r="AA92" i="18"/>
  <c r="AP31" i="6"/>
  <c r="AB91" i="18"/>
  <c r="AD91" i="18" s="1"/>
  <c r="AC91" i="18"/>
  <c r="AE91" i="18" s="1"/>
  <c r="AF91" i="18" s="1"/>
  <c r="BC91" i="18" s="1"/>
  <c r="BE91" i="18" s="1"/>
  <c r="BG91" i="18" s="1"/>
  <c r="C100" i="6" s="1"/>
  <c r="L100" i="6" s="1"/>
  <c r="Q100" i="6" s="1"/>
  <c r="AJ31" i="6" s="1"/>
  <c r="AN92" i="18"/>
  <c r="AK93" i="18"/>
  <c r="R102" i="6" l="1"/>
  <c r="AK33" i="6" s="1"/>
  <c r="M103" i="6"/>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<sst xmlns="http://schemas.openxmlformats.org/spreadsheetml/2006/main" count="3690" uniqueCount="820">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</sst>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18" fillId="0" borderId="0" xfId="0" applyFont="1" applyAlignment="1">
      <alignment horizontal="left"/>
    </xf>
    <xf numFmtId="168" fontId="0" fillId="0" borderId="0" xfId="0" applyNumberFormat="1" applyAlignment="1">
      <alignment horizontal="center"/>
    </xf>
    <xf numFmtId="169"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5"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6"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6"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4"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68"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7"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6"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0"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Border="1" applyAlignment="1">
      <alignment horizontal="right" vertical="center"/>
    </xf>
    <xf numFmtId="164" fontId="0" fillId="0" borderId="6" xfId="0" applyNumberFormat="1" applyBorder="1" applyAlignment="1">
      <alignment horizontal="right" vertical="center"/>
    </xf>
    <xf numFmtId="164"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xf numFmtId="171" fontId="4" fillId="12" borderId="24" xfId="0" applyNumberFormat="1" applyFont="1" applyFill="1" applyBorder="1"/>
    <xf numFmtId="171"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Alignment="1">
      <alignment horizontal="center"/>
    </xf>
    <xf numFmtId="168"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2" fontId="0" fillId="0" borderId="0" xfId="0" applyNumberFormat="1"/>
    <xf numFmtId="43"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172" fontId="0" fillId="0" borderId="0" xfId="0" applyNumberFormat="1" applyAlignment="1">
      <alignment horizontal="right" vertical="center"/>
    </xf>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3"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6"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6" fontId="0" fillId="20" borderId="0" xfId="0" applyNumberFormat="1" applyFill="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xf numFmtId="178" fontId="0" fillId="0" borderId="6" xfId="0" applyNumberFormat="1" applyBorder="1"/>
    <xf numFmtId="178" fontId="0" fillId="0" borderId="0" xfId="0" applyNumberFormat="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2"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41" fontId="1" fillId="0" borderId="58" xfId="0" applyNumberFormat="1" applyFont="1" applyBorder="1"/>
    <xf numFmtId="170" fontId="0" fillId="0" borderId="51" xfId="0" applyNumberFormat="1" applyBorder="1"/>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3" fontId="0" fillId="6" borderId="0" xfId="0" applyNumberFormat="1" applyFill="1"/>
    <xf numFmtId="182" fontId="0" fillId="0" borderId="0" xfId="0" applyNumberFormat="1"/>
    <xf numFmtId="177" fontId="0" fillId="0" borderId="51" xfId="0" applyNumberFormat="1" applyBorder="1"/>
    <xf numFmtId="178" fontId="1" fillId="0" borderId="0" xfId="0" applyNumberFormat="1" applyFont="1"/>
    <xf numFmtId="177"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41" fontId="23" fillId="18" borderId="0" xfId="0" applyNumberFormat="1" applyFont="1" applyFill="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78" fontId="0" fillId="18" borderId="0" xfId="0" applyNumberFormat="1" applyFill="1"/>
    <xf numFmtId="0" fontId="21" fillId="0" borderId="1" xfId="0" applyFont="1" applyBorder="1"/>
    <xf numFmtId="41" fontId="21" fillId="0" borderId="2" xfId="0" applyNumberFormat="1" applyFont="1" applyBorder="1" applyAlignment="1" applyProtection="1">
      <alignment horizontal="right"/>
      <protection locked="0"/>
    </xf>
    <xf numFmtId="178"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0"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69" fontId="4" fillId="5" borderId="58" xfId="0" applyNumberFormat="1" applyFont="1" applyFill="1" applyBorder="1"/>
    <xf numFmtId="169"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66"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6" fontId="0" fillId="0" borderId="54" xfId="0" applyNumberFormat="1" applyBorder="1"/>
    <xf numFmtId="166"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78" fontId="0" fillId="0" borderId="1" xfId="0" applyNumberFormat="1" applyBorder="1"/>
    <xf numFmtId="178" fontId="0" fillId="0" borderId="2" xfId="0" applyNumberFormat="1" applyBorder="1"/>
    <xf numFmtId="178" fontId="1" fillId="0" borderId="33" xfId="0" applyNumberFormat="1" applyFont="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41" fontId="0" fillId="0" borderId="54" xfId="0" applyNumberFormat="1" applyBorder="1"/>
    <xf numFmtId="170" fontId="10" fillId="0" borderId="54" xfId="0" applyNumberFormat="1" applyFont="1" applyBorder="1"/>
    <xf numFmtId="170" fontId="4" fillId="0" borderId="54" xfId="0" applyNumberFormat="1" applyFont="1" applyBorder="1"/>
    <xf numFmtId="171" fontId="4" fillId="0" borderId="8" xfId="0" applyNumberFormat="1" applyFont="1" applyBorder="1"/>
    <xf numFmtId="41" fontId="1" fillId="10" borderId="58" xfId="0" applyNumberFormat="1" applyFont="1" applyFill="1" applyBorder="1"/>
    <xf numFmtId="164" fontId="34" fillId="0" borderId="54" xfId="0" applyNumberFormat="1" applyFont="1" applyBorder="1" applyAlignment="1">
      <alignment horizontal="right" vertical="center"/>
    </xf>
    <xf numFmtId="9" fontId="34" fillId="0" borderId="54" xfId="0" applyNumberFormat="1" applyFont="1" applyBorder="1"/>
    <xf numFmtId="41" fontId="34" fillId="0" borderId="54" xfId="0" applyNumberFormat="1" applyFont="1" applyBorder="1"/>
    <xf numFmtId="164" fontId="1" fillId="11" borderId="60" xfId="0" applyNumberFormat="1" applyFont="1" applyFill="1" applyBorder="1" applyAlignment="1">
      <alignment horizontal="center"/>
    </xf>
    <xf numFmtId="164"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69"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2" borderId="2" xfId="0" applyNumberFormat="1" applyFill="1" applyBorder="1"/>
    <xf numFmtId="169" fontId="0" fillId="2" borderId="0" xfId="0" applyNumberFormat="1" applyFill="1"/>
    <xf numFmtId="169"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6"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164"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41" fontId="4" fillId="0" borderId="1" xfId="0" applyNumberFormat="1" applyFont="1" applyBorder="1"/>
    <xf numFmtId="1" fontId="1" fillId="0" borderId="0" xfId="0" applyNumberFormat="1" applyFont="1" applyAlignment="1">
      <alignment horizontal="right" vertical="center"/>
    </xf>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173" fontId="1" fillId="0" borderId="0" xfId="0" applyNumberFormat="1" applyFont="1"/>
    <xf numFmtId="173" fontId="1" fillId="0" borderId="58" xfId="0" applyNumberFormat="1" applyFont="1" applyBorder="1"/>
    <xf numFmtId="178" fontId="1" fillId="0" borderId="6" xfId="0" applyNumberFormat="1" applyFont="1" applyBorder="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3" fontId="4" fillId="0" borderId="0" xfId="0" applyNumberFormat="1" applyFont="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4" fontId="0" fillId="0" borderId="2" xfId="0" applyNumberFormat="1" applyBorder="1"/>
    <xf numFmtId="164" fontId="1" fillId="0" borderId="33" xfId="0" applyNumberFormat="1" applyFont="1" applyBorder="1"/>
    <xf numFmtId="164" fontId="1" fillId="0" borderId="58" xfId="0" applyNumberFormat="1" applyFont="1" applyBorder="1"/>
    <xf numFmtId="164"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4" fontId="0" fillId="0" borderId="0" xfId="0" applyNumberFormat="1"/>
    <xf numFmtId="187" fontId="0" fillId="0" borderId="0" xfId="0" applyNumberFormat="1"/>
    <xf numFmtId="186" fontId="0" fillId="0" borderId="0" xfId="0" applyNumberFormat="1"/>
    <xf numFmtId="171" fontId="4" fillId="0" borderId="0" xfId="0" applyNumberFormat="1" applyFont="1"/>
    <xf numFmtId="168"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41" fontId="7" fillId="0" borderId="0" xfId="0" applyNumberFormat="1" applyFont="1" applyAlignment="1">
      <alignment horizontal="center"/>
    </xf>
    <xf numFmtId="41" fontId="37" fillId="0" borderId="0" xfId="0" applyNumberFormat="1" applyFont="1" applyAlignment="1">
      <alignment horizontal="center"/>
    </xf>
    <xf numFmtId="2" fontId="4" fillId="0" borderId="0" xfId="0" applyNumberFormat="1" applyFont="1" applyAlignment="1">
      <alignment horizontal="center"/>
    </xf>
    <xf numFmtId="43"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41"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Border="1"/>
    <xf numFmtId="180" fontId="0" fillId="0" borderId="58" xfId="0" applyNumberFormat="1" applyBorder="1"/>
    <xf numFmtId="180" fontId="0" fillId="0" borderId="44" xfId="0" applyNumberFormat="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xf numFmtId="188" fontId="0" fillId="0" borderId="43" xfId="0" applyNumberFormat="1" applyBorder="1"/>
    <xf numFmtId="188" fontId="0" fillId="0" borderId="51" xfId="0" applyNumberFormat="1" applyBorder="1"/>
    <xf numFmtId="173" fontId="7" fillId="0" borderId="2" xfId="0" applyNumberFormat="1" applyFont="1" applyBorder="1"/>
    <xf numFmtId="173" fontId="7" fillId="0" borderId="0" xfId="0" applyNumberFormat="1" applyFont="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5" fontId="0" fillId="0" borderId="33" xfId="0" applyNumberFormat="1" applyBorder="1"/>
    <xf numFmtId="178" fontId="7" fillId="0" borderId="0" xfId="0" applyNumberFormat="1" applyFont="1" applyAlignment="1">
      <alignment horizontal="center"/>
    </xf>
    <xf numFmtId="173" fontId="7"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Border="1"/>
    <xf numFmtId="41" fontId="21" fillId="0" borderId="33" xfId="0" applyNumberFormat="1" applyFont="1" applyBorder="1"/>
    <xf numFmtId="41" fontId="21" fillId="0" borderId="0" xfId="0" applyNumberFormat="1" applyFont="1"/>
    <xf numFmtId="41"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69"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0" fontId="1" fillId="11" borderId="59" xfId="0" applyFont="1" applyFill="1" applyBorder="1" applyAlignment="1">
      <alignment horizontal="center" vertical="center" wrapText="1"/>
    </xf>
    <xf numFmtId="189" fontId="21" fillId="0" borderId="0" xfId="0" applyNumberFormat="1" applyFont="1"/>
    <xf numFmtId="188" fontId="0" fillId="0" borderId="1" xfId="0" applyNumberFormat="1" applyBorder="1"/>
    <xf numFmtId="188"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Border="1" applyAlignment="1" applyProtection="1">
      <alignment horizontal="right"/>
      <protection locked="0"/>
    </xf>
    <xf numFmtId="41" fontId="21" fillId="0" borderId="6" xfId="0" applyNumberFormat="1" applyFont="1" applyBorder="1" applyAlignment="1" applyProtection="1">
      <alignment horizontal="right"/>
      <protection locked="0"/>
    </xf>
    <xf numFmtId="177" fontId="0" fillId="25" borderId="76" xfId="6" applyNumberFormat="1" applyFont="1" applyBorder="1"/>
    <xf numFmtId="178" fontId="21" fillId="25" borderId="70" xfId="6" applyNumberFormat="1" applyFont="1"/>
    <xf numFmtId="177" fontId="0" fillId="25" borderId="77" xfId="6" applyNumberFormat="1" applyFont="1" applyBorder="1"/>
    <xf numFmtId="178" fontId="21" fillId="25" borderId="77" xfId="6" applyNumberFormat="1" applyFont="1" applyBorder="1"/>
    <xf numFmtId="177" fontId="0" fillId="25" borderId="78" xfId="6" applyNumberFormat="1" applyFont="1" applyBorder="1"/>
    <xf numFmtId="0" fontId="23" fillId="18" borderId="1" xfId="0" applyFon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xf numFmtId="41" fontId="24" fillId="18" borderId="0" xfId="0" applyNumberFormat="1" applyFont="1" applyFill="1" applyProtection="1">
      <protection locked="0"/>
    </xf>
    <xf numFmtId="43" fontId="23" fillId="18" borderId="0" xfId="0" applyNumberFormat="1" applyFont="1" applyFill="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43" fontId="21" fillId="18" borderId="0" xfId="0" applyNumberFormat="1" applyFont="1" applyFill="1"/>
    <xf numFmtId="178" fontId="0" fillId="18" borderId="79" xfId="0" applyNumberFormat="1" applyFill="1" applyBorder="1"/>
    <xf numFmtId="43" fontId="0" fillId="18" borderId="1" xfId="0" applyNumberFormat="1" applyFill="1" applyBorder="1"/>
    <xf numFmtId="43" fontId="0" fillId="18" borderId="6" xfId="0" applyNumberFormat="1" applyFill="1" applyBorder="1"/>
    <xf numFmtId="43" fontId="0" fillId="18" borderId="0" xfId="0" applyNumberFormat="1" applyFill="1"/>
    <xf numFmtId="43" fontId="0" fillId="18" borderId="79" xfId="0" applyNumberFormat="1" applyFill="1" applyBorder="1"/>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0" borderId="7"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22" fillId="12" borderId="18" xfId="0" applyFont="1" applyFill="1" applyBorder="1" applyAlignment="1">
      <alignment horizontal="center" vertical="center"/>
    </xf>
    <xf numFmtId="0" fontId="22" fillId="12" borderId="28"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2" fillId="12" borderId="64" xfId="0" applyFont="1" applyFill="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0" fontId="1" fillId="0" borderId="2" xfId="0" applyFont="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70" fillId="5" borderId="7"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0" fillId="13" borderId="0" xfId="0" applyFill="1" applyAlignment="1">
      <alignment horizontal="center" vertical="center" wrapText="1"/>
    </xf>
    <xf numFmtId="0" fontId="0" fillId="14" borderId="0" xfId="0" applyFill="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15982.590002881327</c:v>
                </c:pt>
                <c:pt idx="12">
                  <c:v>15440.195681596713</c:v>
                </c:pt>
                <c:pt idx="13">
                  <c:v>14860.529759104096</c:v>
                </c:pt>
                <c:pt idx="14">
                  <c:v>14304.487813215472</c:v>
                </c:pt>
                <c:pt idx="15">
                  <c:v>13770.37024651486</c:v>
                </c:pt>
                <c:pt idx="16">
                  <c:v>13256.550403840205</c:v>
                </c:pt>
                <c:pt idx="17">
                  <c:v>12761.390913394656</c:v>
                </c:pt>
                <c:pt idx="18">
                  <c:v>12283.410098294094</c:v>
                </c:pt>
                <c:pt idx="19">
                  <c:v>11821.187995852166</c:v>
                </c:pt>
                <c:pt idx="20">
                  <c:v>11373.362957616693</c:v>
                </c:pt>
                <c:pt idx="21">
                  <c:v>10938.628390354213</c:v>
                </c:pt>
                <c:pt idx="22">
                  <c:v>10513.092663232292</c:v>
                </c:pt>
                <c:pt idx="23">
                  <c:v>10096.258807736416</c:v>
                </c:pt>
                <c:pt idx="24">
                  <c:v>9699.9975670036711</c:v>
                </c:pt>
                <c:pt idx="25">
                  <c:v>9323.3059416290635</c:v>
                </c:pt>
                <c:pt idx="26">
                  <c:v>8965.2298050377813</c:v>
                </c:pt>
                <c:pt idx="27">
                  <c:v>8624.8209569665196</c:v>
                </c:pt>
                <c:pt idx="28">
                  <c:v>8301.2184079845047</c:v>
                </c:pt>
                <c:pt idx="29">
                  <c:v>7993.6031026066712</c:v>
                </c:pt>
                <c:pt idx="30">
                  <c:v>7701.1958787623025</c:v>
                </c:pt>
                <c:pt idx="31">
                  <c:v>7423.2555264986477</c:v>
                </c:pt>
                <c:pt idx="32">
                  <c:v>7159.0402454402974</c:v>
                </c:pt>
                <c:pt idx="33">
                  <c:v>6907.8813986801433</c:v>
                </c:pt>
                <c:pt idx="34">
                  <c:v>6669.1429035100791</c:v>
                </c:pt>
                <c:pt idx="35">
                  <c:v>6442.2196477602583</c:v>
                </c:pt>
                <c:pt idx="36">
                  <c:v>6235.2031795840376</c:v>
                </c:pt>
                <c:pt idx="37">
                  <c:v>6051.9214851856541</c:v>
                </c:pt>
                <c:pt idx="38">
                  <c:v>5891.2119496022769</c:v>
                </c:pt>
                <c:pt idx="39">
                  <c:v>5751.983310281832</c:v>
                </c:pt>
                <c:pt idx="40">
                  <c:v>5633.2104529652133</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816.26125781571466</c:v>
                </c:pt>
                <c:pt idx="10">
                  <c:v>806.97421035921548</c:v>
                </c:pt>
                <c:pt idx="11">
                  <c:v>877.28760323328163</c:v>
                </c:pt>
                <c:pt idx="12">
                  <c:v>840.0513734222659</c:v>
                </c:pt>
                <c:pt idx="13">
                  <c:v>843.77363667654186</c:v>
                </c:pt>
                <c:pt idx="14">
                  <c:v>847.92437868508875</c:v>
                </c:pt>
                <c:pt idx="15">
                  <c:v>852.63171480162703</c:v>
                </c:pt>
                <c:pt idx="16">
                  <c:v>857.58865732455945</c:v>
                </c:pt>
                <c:pt idx="17">
                  <c:v>862.95894465795868</c:v>
                </c:pt>
                <c:pt idx="18">
                  <c:v>868.28332059476827</c:v>
                </c:pt>
                <c:pt idx="19">
                  <c:v>874.00658894991443</c:v>
                </c:pt>
                <c:pt idx="20">
                  <c:v>879.73010519824209</c:v>
                </c:pt>
                <c:pt idx="21">
                  <c:v>886.4268436506768</c:v>
                </c:pt>
                <c:pt idx="22">
                  <c:v>893.50022865113783</c:v>
                </c:pt>
                <c:pt idx="23">
                  <c:v>900.9224766785602</c:v>
                </c:pt>
                <c:pt idx="24">
                  <c:v>909.31282907694185</c:v>
                </c:pt>
                <c:pt idx="25">
                  <c:v>917.31370039026274</c:v>
                </c:pt>
                <c:pt idx="26">
                  <c:v>925.8459077001088</c:v>
                </c:pt>
                <c:pt idx="27">
                  <c:v>935.27520334848953</c:v>
                </c:pt>
                <c:pt idx="28">
                  <c:v>944.22580403899644</c:v>
                </c:pt>
                <c:pt idx="29">
                  <c:v>953.23617883808151</c:v>
                </c:pt>
                <c:pt idx="30">
                  <c:v>962.45270883967009</c:v>
                </c:pt>
                <c:pt idx="31">
                  <c:v>972.01945431880802</c:v>
                </c:pt>
                <c:pt idx="32">
                  <c:v>981.21811951649272</c:v>
                </c:pt>
                <c:pt idx="33">
                  <c:v>990.67785409393366</c:v>
                </c:pt>
                <c:pt idx="34">
                  <c:v>1000.509581506524</c:v>
                </c:pt>
                <c:pt idx="35">
                  <c:v>1010.7169191687079</c:v>
                </c:pt>
                <c:pt idx="36">
                  <c:v>1020.9530038672356</c:v>
                </c:pt>
                <c:pt idx="37">
                  <c:v>1023.2499936352905</c:v>
                </c:pt>
                <c:pt idx="38">
                  <c:v>1024.6225503773298</c:v>
                </c:pt>
                <c:pt idx="39">
                  <c:v>1026.0430902000903</c:v>
                </c:pt>
                <c:pt idx="40">
                  <c:v>1027.0820796016887</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 ##0_-;\-* #\ ##0_-;_-* "-"??_-;_-@_-</c:formatCode>
                <c:ptCount val="34"/>
                <c:pt idx="0">
                  <c:v>6573.3162308435367</c:v>
                </c:pt>
                <c:pt idx="1">
                  <c:v>6782.3257195400192</c:v>
                </c:pt>
                <c:pt idx="2">
                  <c:v>6996.3761941639132</c:v>
                </c:pt>
                <c:pt idx="3">
                  <c:v>7215.5760361663397</c:v>
                </c:pt>
                <c:pt idx="4">
                  <c:v>7405.9355442178767</c:v>
                </c:pt>
                <c:pt idx="5">
                  <c:v>7599.7221031332629</c:v>
                </c:pt>
                <c:pt idx="6">
                  <c:v>7796.9893950863434</c:v>
                </c:pt>
                <c:pt idx="7">
                  <c:v>7997.7918841172896</c:v>
                </c:pt>
                <c:pt idx="8">
                  <c:v>8202.1848270207192</c:v>
                </c:pt>
                <c:pt idx="9">
                  <c:v>8396.3580112842246</c:v>
                </c:pt>
                <c:pt idx="10">
                  <c:v>8593.5598052314708</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9959.9642573763831</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 ##0_-;\-* #\ ##0_-;_-* "-"??_-;_-@_-</c:formatCode>
                <c:ptCount val="34"/>
                <c:pt idx="0">
                  <c:v>68439.708347615408</c:v>
                </c:pt>
                <c:pt idx="1">
                  <c:v>64333.325846758482</c:v>
                </c:pt>
                <c:pt idx="2">
                  <c:v>60911.340429377713</c:v>
                </c:pt>
                <c:pt idx="3">
                  <c:v>55436.163761568474</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13687.941669523074</c:v>
                </c:pt>
                <c:pt idx="29">
                  <c:v>13687.941669523076</c:v>
                </c:pt>
                <c:pt idx="30">
                  <c:v>13687.941669523083</c:v>
                </c:pt>
                <c:pt idx="31">
                  <c:v>13687.941669523072</c:v>
                </c:pt>
                <c:pt idx="32">
                  <c:v>13687.941669523076</c:v>
                </c:pt>
                <c:pt idx="33">
                  <c:v>13687.941669523081</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 ##0_-;\-* #\ ##0_-;_-* "-"??_-;_-@_-</c:formatCode>
                <c:ptCount val="34"/>
                <c:pt idx="0">
                  <c:v>6080.5670370000007</c:v>
                </c:pt>
                <c:pt idx="1">
                  <c:v>7449.3121878932852</c:v>
                </c:pt>
                <c:pt idx="2">
                  <c:v>10315.519074327111</c:v>
                </c:pt>
                <c:pt idx="3">
                  <c:v>11161.222878141903</c:v>
                </c:pt>
                <c:pt idx="4">
                  <c:v>12542.657304486011</c:v>
                </c:pt>
                <c:pt idx="5">
                  <c:v>13908.078054615326</c:v>
                </c:pt>
                <c:pt idx="6">
                  <c:v>14925.513177657298</c:v>
                </c:pt>
                <c:pt idx="7">
                  <c:v>16346.183235870674</c:v>
                </c:pt>
                <c:pt idx="8">
                  <c:v>17604.539191827451</c:v>
                </c:pt>
                <c:pt idx="9">
                  <c:v>18623.45932879344</c:v>
                </c:pt>
                <c:pt idx="10">
                  <c:v>20020.825933571552</c:v>
                </c:pt>
                <c:pt idx="11">
                  <c:v>21268.986977569155</c:v>
                </c:pt>
                <c:pt idx="12">
                  <c:v>22109.018103152037</c:v>
                </c:pt>
                <c:pt idx="13">
                  <c:v>22265.703204075762</c:v>
                </c:pt>
                <c:pt idx="14">
                  <c:v>21782.53031569524</c:v>
                </c:pt>
                <c:pt idx="15">
                  <c:v>21836.363886437786</c:v>
                </c:pt>
                <c:pt idx="16">
                  <c:v>21589.444720275085</c:v>
                </c:pt>
                <c:pt idx="17">
                  <c:v>21516.600981573767</c:v>
                </c:pt>
                <c:pt idx="18">
                  <c:v>21732.46748004089</c:v>
                </c:pt>
                <c:pt idx="19">
                  <c:v>21674.976244705002</c:v>
                </c:pt>
                <c:pt idx="20">
                  <c:v>21509.336630014866</c:v>
                </c:pt>
                <c:pt idx="21">
                  <c:v>21022.572146631192</c:v>
                </c:pt>
                <c:pt idx="22">
                  <c:v>20537.016827999734</c:v>
                </c:pt>
                <c:pt idx="23">
                  <c:v>20055.63180333472</c:v>
                </c:pt>
                <c:pt idx="24">
                  <c:v>19201.378252318307</c:v>
                </c:pt>
                <c:pt idx="25">
                  <c:v>18339.678840327881</c:v>
                </c:pt>
                <c:pt idx="26">
                  <c:v>17483.260575967972</c:v>
                </c:pt>
                <c:pt idx="27">
                  <c:v>16634.367319258348</c:v>
                </c:pt>
                <c:pt idx="28">
                  <c:v>15793.072246531434</c:v>
                </c:pt>
                <c:pt idx="29">
                  <c:v>14399.494628305772</c:v>
                </c:pt>
                <c:pt idx="30">
                  <c:v>12845.317814495815</c:v>
                </c:pt>
                <c:pt idx="31">
                  <c:v>11272.440733004229</c:v>
                </c:pt>
                <c:pt idx="32">
                  <c:v>9700.5342966847911</c:v>
                </c:pt>
                <c:pt idx="33">
                  <c:v>8120.9095132174525</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 ##0_-;\-* #\ ##0_-;_-* "-"??_-;_-@_-</c:formatCode>
                <c:ptCount val="34"/>
                <c:pt idx="0">
                  <c:v>1694.9190000000001</c:v>
                </c:pt>
                <c:pt idx="1">
                  <c:v>1789.9687605419947</c:v>
                </c:pt>
                <c:pt idx="2">
                  <c:v>2562.5510023172546</c:v>
                </c:pt>
                <c:pt idx="3">
                  <c:v>2582.9210795159115</c:v>
                </c:pt>
                <c:pt idx="4">
                  <c:v>2953.515836548303</c:v>
                </c:pt>
                <c:pt idx="5">
                  <c:v>3151.9670848679066</c:v>
                </c:pt>
                <c:pt idx="6">
                  <c:v>3194.4586745285919</c:v>
                </c:pt>
                <c:pt idx="7">
                  <c:v>3241.8415741695385</c:v>
                </c:pt>
                <c:pt idx="8">
                  <c:v>3295.5782878286518</c:v>
                </c:pt>
                <c:pt idx="9">
                  <c:v>3352.1643896886117</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 ##0_-;\-* #\ ##0_-;_-* "-"??_-;_-@_-</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 ##0_-;\-* #\ ##0_-;_-* "-"??_-;_-@_-</c:formatCode>
                <c:ptCount val="34"/>
                <c:pt idx="0">
                  <c:v>68439.708347615408</c:v>
                </c:pt>
                <c:pt idx="1">
                  <c:v>64333.325846758482</c:v>
                </c:pt>
                <c:pt idx="2">
                  <c:v>60911.340429377713</c:v>
                </c:pt>
                <c:pt idx="3">
                  <c:v>55436.163761568474</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13687.941669523074</c:v>
                </c:pt>
                <c:pt idx="29">
                  <c:v>13687.941669523076</c:v>
                </c:pt>
                <c:pt idx="30">
                  <c:v>13687.941669523083</c:v>
                </c:pt>
                <c:pt idx="31">
                  <c:v>13687.941669523072</c:v>
                </c:pt>
                <c:pt idx="32">
                  <c:v>13687.941669523076</c:v>
                </c:pt>
                <c:pt idx="33">
                  <c:v>13687.941669523081</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 ##0_-;\-* #\ ##0_-;_-* "-"??_-;_-@_-</c:formatCode>
                <c:ptCount val="34"/>
                <c:pt idx="0">
                  <c:v>6080.5670370000007</c:v>
                </c:pt>
                <c:pt idx="1">
                  <c:v>7449.3121878932852</c:v>
                </c:pt>
                <c:pt idx="2">
                  <c:v>10315.519074327111</c:v>
                </c:pt>
                <c:pt idx="3">
                  <c:v>11161.222878141903</c:v>
                </c:pt>
                <c:pt idx="4">
                  <c:v>12542.657304486011</c:v>
                </c:pt>
                <c:pt idx="5">
                  <c:v>13908.078054615326</c:v>
                </c:pt>
                <c:pt idx="6">
                  <c:v>14925.513177657298</c:v>
                </c:pt>
                <c:pt idx="7">
                  <c:v>16346.183235870674</c:v>
                </c:pt>
                <c:pt idx="8">
                  <c:v>17604.539191827451</c:v>
                </c:pt>
                <c:pt idx="9">
                  <c:v>18623.45932879344</c:v>
                </c:pt>
                <c:pt idx="10">
                  <c:v>20020.825933571552</c:v>
                </c:pt>
                <c:pt idx="11">
                  <c:v>21268.986977569155</c:v>
                </c:pt>
                <c:pt idx="12">
                  <c:v>22109.018103152037</c:v>
                </c:pt>
                <c:pt idx="13">
                  <c:v>22265.703204075762</c:v>
                </c:pt>
                <c:pt idx="14">
                  <c:v>21782.53031569524</c:v>
                </c:pt>
                <c:pt idx="15">
                  <c:v>21836.363886437786</c:v>
                </c:pt>
                <c:pt idx="16">
                  <c:v>21589.444720275085</c:v>
                </c:pt>
                <c:pt idx="17">
                  <c:v>21516.600981573767</c:v>
                </c:pt>
                <c:pt idx="18">
                  <c:v>21732.46748004089</c:v>
                </c:pt>
                <c:pt idx="19">
                  <c:v>21674.976244705002</c:v>
                </c:pt>
                <c:pt idx="20">
                  <c:v>21509.336630014866</c:v>
                </c:pt>
                <c:pt idx="21">
                  <c:v>21022.572146631192</c:v>
                </c:pt>
                <c:pt idx="22">
                  <c:v>20537.016827999734</c:v>
                </c:pt>
                <c:pt idx="23">
                  <c:v>20055.63180333472</c:v>
                </c:pt>
                <c:pt idx="24">
                  <c:v>19201.378252318307</c:v>
                </c:pt>
                <c:pt idx="25">
                  <c:v>18339.678840327881</c:v>
                </c:pt>
                <c:pt idx="26">
                  <c:v>17483.260575967972</c:v>
                </c:pt>
                <c:pt idx="27">
                  <c:v>16634.367319258348</c:v>
                </c:pt>
                <c:pt idx="28">
                  <c:v>15793.072246531434</c:v>
                </c:pt>
                <c:pt idx="29">
                  <c:v>14399.494628305772</c:v>
                </c:pt>
                <c:pt idx="30">
                  <c:v>12845.317814495815</c:v>
                </c:pt>
                <c:pt idx="31">
                  <c:v>11272.440733004229</c:v>
                </c:pt>
                <c:pt idx="32">
                  <c:v>9700.5342966847911</c:v>
                </c:pt>
                <c:pt idx="33">
                  <c:v>8120.9095132174525</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2562.5510023172546</c:v>
                </c:pt>
                <c:pt idx="3">
                  <c:v>2582.9210795159115</c:v>
                </c:pt>
                <c:pt idx="4">
                  <c:v>2953.515836548303</c:v>
                </c:pt>
                <c:pt idx="5">
                  <c:v>3151.9670848679066</c:v>
                </c:pt>
                <c:pt idx="6">
                  <c:v>3194.4586745285919</c:v>
                </c:pt>
                <c:pt idx="7">
                  <c:v>3241.8415741695385</c:v>
                </c:pt>
                <c:pt idx="8">
                  <c:v>3295.5782878286518</c:v>
                </c:pt>
                <c:pt idx="9">
                  <c:v>3352.1643896886117</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 ##0_-;\-* #\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 ##0_-;\-* #\ ##0_-;_-* "-"??_-;_-@_-</c:formatCode>
                <c:ptCount val="34"/>
                <c:pt idx="0">
                  <c:v>6573.3162308435367</c:v>
                </c:pt>
                <c:pt idx="1">
                  <c:v>6679.6175321884148</c:v>
                </c:pt>
                <c:pt idx="2">
                  <c:v>6787.6378998722266</c:v>
                </c:pt>
                <c:pt idx="3">
                  <c:v>6897.4051340163305</c:v>
                </c:pt>
                <c:pt idx="4">
                  <c:v>6976.8230420886903</c:v>
                </c:pt>
                <c:pt idx="5">
                  <c:v>7057.1553816030291</c:v>
                </c:pt>
                <c:pt idx="6">
                  <c:v>7138.4126814801166</c:v>
                </c:pt>
                <c:pt idx="7">
                  <c:v>7220.6055918725297</c:v>
                </c:pt>
                <c:pt idx="8">
                  <c:v>7303.7448855605326</c:v>
                </c:pt>
                <c:pt idx="9">
                  <c:v>7375.6608297153634</c:v>
                </c:pt>
                <c:pt idx="10">
                  <c:v>7448.2848904740404</c:v>
                </c:pt>
                <c:pt idx="11">
                  <c:v>7521.6240402698641</c:v>
                </c:pt>
                <c:pt idx="12">
                  <c:v>7595.6853201898566</c:v>
                </c:pt>
                <c:pt idx="13">
                  <c:v>7670.4758406507226</c:v>
                </c:pt>
                <c:pt idx="14">
                  <c:v>7735.9377653521624</c:v>
                </c:pt>
                <c:pt idx="15">
                  <c:v>7801.9583599033831</c:v>
                </c:pt>
                <c:pt idx="16">
                  <c:v>7868.5423921446545</c:v>
                </c:pt>
                <c:pt idx="17">
                  <c:v>7935.6946706062963</c:v>
                </c:pt>
                <c:pt idx="18">
                  <c:v>8003.4200448559322</c:v>
                </c:pt>
                <c:pt idx="19">
                  <c:v>8062.0143350648113</c:v>
                </c:pt>
                <c:pt idx="20">
                  <c:v>8121.0376032388403</c:v>
                </c:pt>
                <c:pt idx="21">
                  <c:v>8180.4929899928129</c:v>
                </c:pt>
                <c:pt idx="22">
                  <c:v>8240.3836589344519</c:v>
                </c:pt>
                <c:pt idx="23">
                  <c:v>8300.7127968327495</c:v>
                </c:pt>
                <c:pt idx="24">
                  <c:v>8352.2679389695077</c:v>
                </c:pt>
                <c:pt idx="25">
                  <c:v>8404.1432864604067</c:v>
                </c:pt>
                <c:pt idx="26">
                  <c:v>8456.3408280783351</c:v>
                </c:pt>
                <c:pt idx="27">
                  <c:v>8508.8625649483038</c:v>
                </c:pt>
                <c:pt idx="28">
                  <c:v>8561.7105106241779</c:v>
                </c:pt>
                <c:pt idx="29">
                  <c:v>8605.4166727417341</c:v>
                </c:pt>
                <c:pt idx="30">
                  <c:v>8649.3459478230707</c:v>
                </c:pt>
                <c:pt idx="31">
                  <c:v>8693.4994748241606</c:v>
                </c:pt>
                <c:pt idx="32">
                  <c:v>8737.8783985151767</c:v>
                </c:pt>
                <c:pt idx="33">
                  <c:v>8782.483869510148</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 ##0_-;\-* #\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 ##0_-;\-* #\ ##0_-;_-* "-"??_-;_-@_-</c:formatCode>
                <c:ptCount val="34"/>
                <c:pt idx="0">
                  <c:v>2912.8310946643915</c:v>
                </c:pt>
                <c:pt idx="1">
                  <c:v>2837.6019857013189</c:v>
                </c:pt>
                <c:pt idx="2">
                  <c:v>2763.9217434216189</c:v>
                </c:pt>
                <c:pt idx="3">
                  <c:v>2691.7426737450974</c:v>
                </c:pt>
                <c:pt idx="4">
                  <c:v>2622.3922545804858</c:v>
                </c:pt>
                <c:pt idx="5">
                  <c:v>2555.094934363724</c:v>
                </c:pt>
                <c:pt idx="6">
                  <c:v>2489.7823118381648</c:v>
                </c:pt>
                <c:pt idx="7">
                  <c:v>2426.3881713851051</c:v>
                </c:pt>
                <c:pt idx="8">
                  <c:v>2364.8484024198983</c:v>
                </c:pt>
                <c:pt idx="9">
                  <c:v>2306.1624894407255</c:v>
                </c:pt>
                <c:pt idx="10">
                  <c:v>2249.4265329688442</c:v>
                </c:pt>
                <c:pt idx="11">
                  <c:v>2126.0760747520476</c:v>
                </c:pt>
                <c:pt idx="12">
                  <c:v>2009.5687327082351</c:v>
                </c:pt>
                <c:pt idx="13">
                  <c:v>1899.5194208179271</c:v>
                </c:pt>
                <c:pt idx="14">
                  <c:v>1804.937840798731</c:v>
                </c:pt>
                <c:pt idx="15">
                  <c:v>1710.8778518716094</c:v>
                </c:pt>
                <c:pt idx="16">
                  <c:v>1617.3290932825464</c:v>
                </c:pt>
                <c:pt idx="17">
                  <c:v>1524.2814449886839</c:v>
                </c:pt>
                <c:pt idx="18">
                  <c:v>1431.7250208472356</c:v>
                </c:pt>
                <c:pt idx="19">
                  <c:v>1340.1098167011321</c:v>
                </c:pt>
                <c:pt idx="20">
                  <c:v>1307.5919202588843</c:v>
                </c:pt>
                <c:pt idx="21">
                  <c:v>1248.9870080777011</c:v>
                </c:pt>
                <c:pt idx="22">
                  <c:v>1190.6395454279671</c:v>
                </c:pt>
                <c:pt idx="23">
                  <c:v>1132.5452479369364</c:v>
                </c:pt>
                <c:pt idx="24">
                  <c:v>1075.0228489899325</c:v>
                </c:pt>
                <c:pt idx="25">
                  <c:v>1017.70554841936</c:v>
                </c:pt>
                <c:pt idx="26">
                  <c:v>960.59046118844435</c:v>
                </c:pt>
                <c:pt idx="27">
                  <c:v>903.67474911515569</c:v>
                </c:pt>
                <c:pt idx="28">
                  <c:v>846.95561994806178</c:v>
                </c:pt>
                <c:pt idx="29">
                  <c:v>790.65841959034776</c:v>
                </c:pt>
                <c:pt idx="30">
                  <c:v>734.51689490546516</c:v>
                </c:pt>
                <c:pt idx="31">
                  <c:v>733.54514400029723</c:v>
                </c:pt>
                <c:pt idx="32">
                  <c:v>732.58087683720362</c:v>
                </c:pt>
                <c:pt idx="33">
                  <c:v>731.62401965267998</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 ##0_-;\-* #\ ##0_-;_-* "-"??_-;_-@_-</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19149.655921324495</c:v>
                </c:pt>
                <c:pt idx="28">
                  <c:v>18107.444808958157</c:v>
                </c:pt>
                <c:pt idx="29">
                  <c:v>17121.955551397081</c:v>
                </c:pt>
                <c:pt idx="30">
                  <c:v>16190.101088088575</c:v>
                </c:pt>
                <c:pt idx="31">
                  <c:v>15308.96237031399</c:v>
                </c:pt>
                <c:pt idx="32">
                  <c:v>14475.779217222871</c:v>
                </c:pt>
                <c:pt idx="33">
                  <c:v>13687.941669523081</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 ##0_-;\-* #\ ##0_-;_-* "-"??_-;_-@_-</c:formatCode>
                <c:ptCount val="34"/>
                <c:pt idx="0">
                  <c:v>6080.5670370000007</c:v>
                </c:pt>
                <c:pt idx="1">
                  <c:v>6432.32104401378</c:v>
                </c:pt>
                <c:pt idx="2">
                  <c:v>8197.5014663891779</c:v>
                </c:pt>
                <c:pt idx="3">
                  <c:v>8161.0986638931799</c:v>
                </c:pt>
                <c:pt idx="4">
                  <c:v>8638.6012907272125</c:v>
                </c:pt>
                <c:pt idx="5">
                  <c:v>9129.9723352621659</c:v>
                </c:pt>
                <c:pt idx="6">
                  <c:v>9488.3845026864292</c:v>
                </c:pt>
                <c:pt idx="7">
                  <c:v>10095.187192992911</c:v>
                </c:pt>
                <c:pt idx="8">
                  <c:v>10677.230777983976</c:v>
                </c:pt>
                <c:pt idx="9">
                  <c:v>11200.642388468463</c:v>
                </c:pt>
                <c:pt idx="10">
                  <c:v>11961.100083630923</c:v>
                </c:pt>
                <c:pt idx="11">
                  <c:v>12709.572165696211</c:v>
                </c:pt>
                <c:pt idx="12">
                  <c:v>13326.306761216732</c:v>
                </c:pt>
                <c:pt idx="13">
                  <c:v>13660.687095542968</c:v>
                </c:pt>
                <c:pt idx="14">
                  <c:v>13486.834493680966</c:v>
                </c:pt>
                <c:pt idx="15">
                  <c:v>13585.294694963031</c:v>
                </c:pt>
                <c:pt idx="16">
                  <c:v>13536.907086273615</c:v>
                </c:pt>
                <c:pt idx="17">
                  <c:v>13585.349036895488</c:v>
                </c:pt>
                <c:pt idx="18">
                  <c:v>13774.206718205109</c:v>
                </c:pt>
                <c:pt idx="19">
                  <c:v>13831.759705259741</c:v>
                </c:pt>
                <c:pt idx="20">
                  <c:v>13844.31205993808</c:v>
                </c:pt>
                <c:pt idx="21">
                  <c:v>13691.460242902982</c:v>
                </c:pt>
                <c:pt idx="22">
                  <c:v>13539.817590620098</c:v>
                </c:pt>
                <c:pt idx="23">
                  <c:v>13392.345232303656</c:v>
                </c:pt>
                <c:pt idx="24">
                  <c:v>13061.980848589763</c:v>
                </c:pt>
                <c:pt idx="25">
                  <c:v>12724.170603901857</c:v>
                </c:pt>
                <c:pt idx="26">
                  <c:v>12391.641506844466</c:v>
                </c:pt>
                <c:pt idx="27">
                  <c:v>12066.637417437363</c:v>
                </c:pt>
                <c:pt idx="28">
                  <c:v>11749.231512012966</c:v>
                </c:pt>
                <c:pt idx="29">
                  <c:v>11155.975094370006</c:v>
                </c:pt>
                <c:pt idx="30">
                  <c:v>10402.119481142747</c:v>
                </c:pt>
                <c:pt idx="31">
                  <c:v>9629.5636002338579</c:v>
                </c:pt>
                <c:pt idx="32">
                  <c:v>8857.9783644971194</c:v>
                </c:pt>
                <c:pt idx="33">
                  <c:v>8078.6747816124816</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 ##0_-;\-* #\ ##0_-;_-* "-"??_-;_-@_-</c:formatCode>
                <c:ptCount val="34"/>
                <c:pt idx="0">
                  <c:v>1694.9190000000001</c:v>
                </c:pt>
                <c:pt idx="1">
                  <c:v>1789.9687605419947</c:v>
                </c:pt>
                <c:pt idx="2">
                  <c:v>2562.5510023172546</c:v>
                </c:pt>
                <c:pt idx="3">
                  <c:v>2507.7293795159117</c:v>
                </c:pt>
                <c:pt idx="4">
                  <c:v>2652.7490365483027</c:v>
                </c:pt>
                <c:pt idx="5">
                  <c:v>2776.0085848679064</c:v>
                </c:pt>
                <c:pt idx="6">
                  <c:v>2893.6918745285916</c:v>
                </c:pt>
                <c:pt idx="7">
                  <c:v>3016.266474169538</c:v>
                </c:pt>
                <c:pt idx="8">
                  <c:v>3145.1948878286516</c:v>
                </c:pt>
                <c:pt idx="9">
                  <c:v>3276.9726896886114</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 ##0_-;\-* #\ ##0_-;_-* "-"??_-;_-@_-</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 ##0_-;\-* #\ ##0_-;_-* "-"??_-;_-@_-</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19149.655921324495</c:v>
                </c:pt>
                <c:pt idx="28">
                  <c:v>18107.444808958157</c:v>
                </c:pt>
                <c:pt idx="29">
                  <c:v>17121.955551397081</c:v>
                </c:pt>
                <c:pt idx="30">
                  <c:v>16190.101088088575</c:v>
                </c:pt>
                <c:pt idx="31">
                  <c:v>15308.96237031399</c:v>
                </c:pt>
                <c:pt idx="32">
                  <c:v>14475.779217222871</c:v>
                </c:pt>
                <c:pt idx="33">
                  <c:v>13687.941669523081</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 ##0_-;\-* #\ ##0_-;_-* "-"??_-;_-@_-</c:formatCode>
                <c:ptCount val="34"/>
                <c:pt idx="0">
                  <c:v>6080.5670370000007</c:v>
                </c:pt>
                <c:pt idx="1">
                  <c:v>6432.32104401378</c:v>
                </c:pt>
                <c:pt idx="2">
                  <c:v>8197.5014663891779</c:v>
                </c:pt>
                <c:pt idx="3">
                  <c:v>8161.0986638931799</c:v>
                </c:pt>
                <c:pt idx="4">
                  <c:v>8638.6012907272125</c:v>
                </c:pt>
                <c:pt idx="5">
                  <c:v>9129.9723352621659</c:v>
                </c:pt>
                <c:pt idx="6">
                  <c:v>9488.3845026864292</c:v>
                </c:pt>
                <c:pt idx="7">
                  <c:v>10095.187192992911</c:v>
                </c:pt>
                <c:pt idx="8">
                  <c:v>10677.230777983976</c:v>
                </c:pt>
                <c:pt idx="9">
                  <c:v>11200.642388468463</c:v>
                </c:pt>
                <c:pt idx="10">
                  <c:v>11961.100083630923</c:v>
                </c:pt>
                <c:pt idx="11">
                  <c:v>12709.572165696211</c:v>
                </c:pt>
                <c:pt idx="12">
                  <c:v>13326.306761216732</c:v>
                </c:pt>
                <c:pt idx="13">
                  <c:v>13660.687095542968</c:v>
                </c:pt>
                <c:pt idx="14">
                  <c:v>13486.834493680966</c:v>
                </c:pt>
                <c:pt idx="15">
                  <c:v>13585.294694963031</c:v>
                </c:pt>
                <c:pt idx="16">
                  <c:v>13536.907086273615</c:v>
                </c:pt>
                <c:pt idx="17">
                  <c:v>13585.349036895488</c:v>
                </c:pt>
                <c:pt idx="18">
                  <c:v>13774.206718205109</c:v>
                </c:pt>
                <c:pt idx="19">
                  <c:v>13831.759705259741</c:v>
                </c:pt>
                <c:pt idx="20">
                  <c:v>13844.31205993808</c:v>
                </c:pt>
                <c:pt idx="21">
                  <c:v>13691.460242902982</c:v>
                </c:pt>
                <c:pt idx="22">
                  <c:v>13539.817590620098</c:v>
                </c:pt>
                <c:pt idx="23">
                  <c:v>13392.345232303656</c:v>
                </c:pt>
                <c:pt idx="24">
                  <c:v>13061.980848589763</c:v>
                </c:pt>
                <c:pt idx="25">
                  <c:v>12724.170603901857</c:v>
                </c:pt>
                <c:pt idx="26">
                  <c:v>12391.641506844466</c:v>
                </c:pt>
                <c:pt idx="27">
                  <c:v>12066.637417437363</c:v>
                </c:pt>
                <c:pt idx="28">
                  <c:v>11749.231512012966</c:v>
                </c:pt>
                <c:pt idx="29">
                  <c:v>11155.975094370006</c:v>
                </c:pt>
                <c:pt idx="30">
                  <c:v>10402.119481142747</c:v>
                </c:pt>
                <c:pt idx="31">
                  <c:v>9629.5636002338579</c:v>
                </c:pt>
                <c:pt idx="32">
                  <c:v>8857.9783644971194</c:v>
                </c:pt>
                <c:pt idx="33">
                  <c:v>8078.6747816124816</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2562.5510023172546</c:v>
                </c:pt>
                <c:pt idx="3">
                  <c:v>2507.7293795159117</c:v>
                </c:pt>
                <c:pt idx="4">
                  <c:v>2652.7490365483027</c:v>
                </c:pt>
                <c:pt idx="5">
                  <c:v>2776.0085848679064</c:v>
                </c:pt>
                <c:pt idx="6">
                  <c:v>2893.6918745285916</c:v>
                </c:pt>
                <c:pt idx="7">
                  <c:v>3016.266474169538</c:v>
                </c:pt>
                <c:pt idx="8">
                  <c:v>3145.1948878286516</c:v>
                </c:pt>
                <c:pt idx="9">
                  <c:v>3276.9726896886114</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 ##0_-;\-* #\ ##0_-;_-* "-"??_-;_-@_-</c:formatCode>
                <c:ptCount val="34"/>
                <c:pt idx="0">
                  <c:v>6573.3162308435367</c:v>
                </c:pt>
                <c:pt idx="1">
                  <c:v>6782.3257195400192</c:v>
                </c:pt>
                <c:pt idx="2">
                  <c:v>6996.3761941639132</c:v>
                </c:pt>
                <c:pt idx="3">
                  <c:v>7215.5760361663397</c:v>
                </c:pt>
                <c:pt idx="4">
                  <c:v>7405.9355442178767</c:v>
                </c:pt>
                <c:pt idx="5">
                  <c:v>7599.7221031332638</c:v>
                </c:pt>
                <c:pt idx="6">
                  <c:v>7796.9893950863434</c:v>
                </c:pt>
                <c:pt idx="7">
                  <c:v>7997.7918841172905</c:v>
                </c:pt>
                <c:pt idx="8">
                  <c:v>8202.1848270207192</c:v>
                </c:pt>
                <c:pt idx="9">
                  <c:v>8396.3580112842246</c:v>
                </c:pt>
                <c:pt idx="10">
                  <c:v>8593.5598052314726</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9959.9642573763813</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 ##0_-;\-* #\ ##0_-;_-* "-"??_-;_-@_-</c:formatCode>
                <c:ptCount val="34"/>
                <c:pt idx="0">
                  <c:v>68439.708347615408</c:v>
                </c:pt>
                <c:pt idx="1">
                  <c:v>64333.325846758482</c:v>
                </c:pt>
                <c:pt idx="2">
                  <c:v>60911.340429377713</c:v>
                </c:pt>
                <c:pt idx="3">
                  <c:v>55436.163761568474</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13687.941669523074</c:v>
                </c:pt>
                <c:pt idx="29">
                  <c:v>13687.941669523076</c:v>
                </c:pt>
                <c:pt idx="30">
                  <c:v>13687.941669523083</c:v>
                </c:pt>
                <c:pt idx="31">
                  <c:v>13687.941669523072</c:v>
                </c:pt>
                <c:pt idx="32">
                  <c:v>13687.941669523076</c:v>
                </c:pt>
                <c:pt idx="33">
                  <c:v>13687.941669523081</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 ##0_-;\-* #\ ##0_-;_-* "-"??_-;_-@_-</c:formatCode>
                <c:ptCount val="34"/>
                <c:pt idx="0">
                  <c:v>6080.5670370000007</c:v>
                </c:pt>
                <c:pt idx="1">
                  <c:v>7449.3121878932852</c:v>
                </c:pt>
                <c:pt idx="2">
                  <c:v>10315.519074327111</c:v>
                </c:pt>
                <c:pt idx="3">
                  <c:v>11161.222878141903</c:v>
                </c:pt>
                <c:pt idx="4">
                  <c:v>12542.657304486011</c:v>
                </c:pt>
                <c:pt idx="5">
                  <c:v>13908.078054615326</c:v>
                </c:pt>
                <c:pt idx="6">
                  <c:v>14925.513177657298</c:v>
                </c:pt>
                <c:pt idx="7">
                  <c:v>16346.183235870674</c:v>
                </c:pt>
                <c:pt idx="8">
                  <c:v>17604.539191827451</c:v>
                </c:pt>
                <c:pt idx="9">
                  <c:v>18623.45932879344</c:v>
                </c:pt>
                <c:pt idx="10">
                  <c:v>20020.825933571552</c:v>
                </c:pt>
                <c:pt idx="11">
                  <c:v>21268.986977569155</c:v>
                </c:pt>
                <c:pt idx="12">
                  <c:v>22109.018103152037</c:v>
                </c:pt>
                <c:pt idx="13">
                  <c:v>22265.703204075762</c:v>
                </c:pt>
                <c:pt idx="14">
                  <c:v>21782.53031569524</c:v>
                </c:pt>
                <c:pt idx="15">
                  <c:v>21836.363886437786</c:v>
                </c:pt>
                <c:pt idx="16">
                  <c:v>21589.444720275085</c:v>
                </c:pt>
                <c:pt idx="17">
                  <c:v>21516.600981573767</c:v>
                </c:pt>
                <c:pt idx="18">
                  <c:v>21732.46748004089</c:v>
                </c:pt>
                <c:pt idx="19">
                  <c:v>21674.976244705002</c:v>
                </c:pt>
                <c:pt idx="20">
                  <c:v>21509.336630014866</c:v>
                </c:pt>
                <c:pt idx="21">
                  <c:v>21022.572146631192</c:v>
                </c:pt>
                <c:pt idx="22">
                  <c:v>20537.016827999734</c:v>
                </c:pt>
                <c:pt idx="23">
                  <c:v>20055.63180333472</c:v>
                </c:pt>
                <c:pt idx="24">
                  <c:v>19201.378252318307</c:v>
                </c:pt>
                <c:pt idx="25">
                  <c:v>18339.678840327881</c:v>
                </c:pt>
                <c:pt idx="26">
                  <c:v>17483.260575967972</c:v>
                </c:pt>
                <c:pt idx="27">
                  <c:v>16634.367319258348</c:v>
                </c:pt>
                <c:pt idx="28">
                  <c:v>15793.072246531434</c:v>
                </c:pt>
                <c:pt idx="29">
                  <c:v>14399.494628305772</c:v>
                </c:pt>
                <c:pt idx="30">
                  <c:v>12845.317814495815</c:v>
                </c:pt>
                <c:pt idx="31">
                  <c:v>11272.440733004229</c:v>
                </c:pt>
                <c:pt idx="32">
                  <c:v>9700.5342966847911</c:v>
                </c:pt>
                <c:pt idx="33">
                  <c:v>8120.9095132174525</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 ##0_-;\-* #\ ##0_-;_-* "-"??_-;_-@_-</c:formatCode>
                <c:ptCount val="34"/>
                <c:pt idx="0">
                  <c:v>1694.9190000000001</c:v>
                </c:pt>
                <c:pt idx="1">
                  <c:v>1789.9687605419947</c:v>
                </c:pt>
                <c:pt idx="2">
                  <c:v>2562.5510023172546</c:v>
                </c:pt>
                <c:pt idx="3">
                  <c:v>2582.9210795159115</c:v>
                </c:pt>
                <c:pt idx="4">
                  <c:v>2953.515836548303</c:v>
                </c:pt>
                <c:pt idx="5">
                  <c:v>3151.9670848679066</c:v>
                </c:pt>
                <c:pt idx="6">
                  <c:v>3194.4586745285919</c:v>
                </c:pt>
                <c:pt idx="7">
                  <c:v>3241.8415741695385</c:v>
                </c:pt>
                <c:pt idx="8">
                  <c:v>3295.5782878286518</c:v>
                </c:pt>
                <c:pt idx="9">
                  <c:v>3352.1643896886117</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 ##0_-;\-* #\ ##0_-;_-* "-"??_-;_-@_-</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 ##0_-;\-* #\ ##0_-;_-* "-"??_-;_-@_-</c:formatCode>
                <c:ptCount val="34"/>
                <c:pt idx="0">
                  <c:v>68439.708347615408</c:v>
                </c:pt>
                <c:pt idx="1">
                  <c:v>64333.325846758482</c:v>
                </c:pt>
                <c:pt idx="2">
                  <c:v>60911.340429377713</c:v>
                </c:pt>
                <c:pt idx="3">
                  <c:v>55436.163761568474</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13687.941669523074</c:v>
                </c:pt>
                <c:pt idx="29">
                  <c:v>13687.941669523076</c:v>
                </c:pt>
                <c:pt idx="30">
                  <c:v>13687.941669523083</c:v>
                </c:pt>
                <c:pt idx="31">
                  <c:v>13687.941669523072</c:v>
                </c:pt>
                <c:pt idx="32">
                  <c:v>13687.941669523076</c:v>
                </c:pt>
                <c:pt idx="33">
                  <c:v>13687.941669523081</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 ##0_-;\-* #\ ##0_-;_-* "-"??_-;_-@_-</c:formatCode>
                <c:ptCount val="34"/>
                <c:pt idx="0">
                  <c:v>6080.5670370000007</c:v>
                </c:pt>
                <c:pt idx="1">
                  <c:v>7449.3121878932852</c:v>
                </c:pt>
                <c:pt idx="2">
                  <c:v>10315.519074327111</c:v>
                </c:pt>
                <c:pt idx="3">
                  <c:v>11161.222878141903</c:v>
                </c:pt>
                <c:pt idx="4">
                  <c:v>12542.657304486011</c:v>
                </c:pt>
                <c:pt idx="5">
                  <c:v>13908.078054615326</c:v>
                </c:pt>
                <c:pt idx="6">
                  <c:v>14925.513177657298</c:v>
                </c:pt>
                <c:pt idx="7">
                  <c:v>16346.183235870674</c:v>
                </c:pt>
                <c:pt idx="8">
                  <c:v>17604.539191827451</c:v>
                </c:pt>
                <c:pt idx="9">
                  <c:v>18623.45932879344</c:v>
                </c:pt>
                <c:pt idx="10">
                  <c:v>20020.825933571552</c:v>
                </c:pt>
                <c:pt idx="11">
                  <c:v>21268.986977569155</c:v>
                </c:pt>
                <c:pt idx="12">
                  <c:v>22109.018103152037</c:v>
                </c:pt>
                <c:pt idx="13">
                  <c:v>22265.703204075762</c:v>
                </c:pt>
                <c:pt idx="14">
                  <c:v>21782.53031569524</c:v>
                </c:pt>
                <c:pt idx="15">
                  <c:v>21836.363886437786</c:v>
                </c:pt>
                <c:pt idx="16">
                  <c:v>21589.444720275085</c:v>
                </c:pt>
                <c:pt idx="17">
                  <c:v>21516.600981573767</c:v>
                </c:pt>
                <c:pt idx="18">
                  <c:v>21732.46748004089</c:v>
                </c:pt>
                <c:pt idx="19">
                  <c:v>21674.976244705002</c:v>
                </c:pt>
                <c:pt idx="20">
                  <c:v>21509.336630014866</c:v>
                </c:pt>
                <c:pt idx="21">
                  <c:v>21022.572146631192</c:v>
                </c:pt>
                <c:pt idx="22">
                  <c:v>20537.016827999734</c:v>
                </c:pt>
                <c:pt idx="23">
                  <c:v>20055.63180333472</c:v>
                </c:pt>
                <c:pt idx="24">
                  <c:v>19201.378252318307</c:v>
                </c:pt>
                <c:pt idx="25">
                  <c:v>18339.678840327881</c:v>
                </c:pt>
                <c:pt idx="26">
                  <c:v>17483.260575967972</c:v>
                </c:pt>
                <c:pt idx="27">
                  <c:v>16634.367319258348</c:v>
                </c:pt>
                <c:pt idx="28">
                  <c:v>15793.072246531434</c:v>
                </c:pt>
                <c:pt idx="29">
                  <c:v>14399.494628305772</c:v>
                </c:pt>
                <c:pt idx="30">
                  <c:v>12845.317814495815</c:v>
                </c:pt>
                <c:pt idx="31">
                  <c:v>11272.440733004229</c:v>
                </c:pt>
                <c:pt idx="32">
                  <c:v>9700.5342966847911</c:v>
                </c:pt>
                <c:pt idx="33">
                  <c:v>8120.9095132174525</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2562.5510023172546</c:v>
                </c:pt>
                <c:pt idx="3">
                  <c:v>2582.9210795159115</c:v>
                </c:pt>
                <c:pt idx="4">
                  <c:v>2953.515836548303</c:v>
                </c:pt>
                <c:pt idx="5">
                  <c:v>3151.9670848679066</c:v>
                </c:pt>
                <c:pt idx="6">
                  <c:v>3194.4586745285919</c:v>
                </c:pt>
                <c:pt idx="7">
                  <c:v>3241.8415741695385</c:v>
                </c:pt>
                <c:pt idx="8">
                  <c:v>3295.5782878286518</c:v>
                </c:pt>
                <c:pt idx="9">
                  <c:v>3352.1643896886117</c:v>
                </c:pt>
                <c:pt idx="10">
                  <c:v>3413.4690396132614</c:v>
                </c:pt>
                <c:pt idx="11">
                  <c:v>3474.2495868371143</c:v>
                </c:pt>
                <c:pt idx="12">
                  <c:v>3539.5837004803343</c:v>
                </c:pt>
                <c:pt idx="13">
                  <c:v>3604.9206439543955</c:v>
                </c:pt>
                <c:pt idx="14">
                  <c:v>3681.3674299410918</c:v>
                </c:pt>
                <c:pt idx="15">
                  <c:v>3762.1138340559442</c:v>
                </c:pt>
                <c:pt idx="16">
                  <c:v>3846.8426928164727</c:v>
                </c:pt>
                <c:pt idx="17">
                  <c:v>3942.6229713368125</c:v>
                </c:pt>
                <c:pt idx="18">
                  <c:v>4033.9571187491515</c:v>
                </c:pt>
                <c:pt idx="19">
                  <c:v>4131.3567455738785</c:v>
                </c:pt>
                <c:pt idx="20">
                  <c:v>4238.9971068567629</c:v>
                </c:pt>
                <c:pt idx="21">
                  <c:v>4341.1729138260207</c:v>
                </c:pt>
                <c:pt idx="22">
                  <c:v>4444.0310736329275</c:v>
                </c:pt>
                <c:pt idx="23">
                  <c:v>4549.242603331425</c:v>
                </c:pt>
                <c:pt idx="24">
                  <c:v>4658.452026609255</c:v>
                </c:pt>
                <c:pt idx="25">
                  <c:v>4763.4596201901322</c:v>
                </c:pt>
                <c:pt idx="26">
                  <c:v>4871.4474578321506</c:v>
                </c:pt>
                <c:pt idx="27">
                  <c:v>4983.6817890261063</c:v>
                </c:pt>
                <c:pt idx="28">
                  <c:v>5100.203908457429</c:v>
                </c:pt>
                <c:pt idx="29">
                  <c:v>5217.0541904040911</c:v>
                </c:pt>
                <c:pt idx="30">
                  <c:v>5243.2755347882812</c:v>
                </c:pt>
                <c:pt idx="31">
                  <c:v>5258.9439907476335</c:v>
                </c:pt>
                <c:pt idx="32">
                  <c:v>5275.1601987700142</c:v>
                </c:pt>
                <c:pt idx="33">
                  <c:v>5287.0208083773005</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16063.071480396609</c:v>
                </c:pt>
                <c:pt idx="3">
                  <c:v>15197.288648575301</c:v>
                </c:pt>
                <c:pt idx="4">
                  <c:v>15662.285966366921</c:v>
                </c:pt>
                <c:pt idx="5">
                  <c:v>15982.378684105484</c:v>
                </c:pt>
                <c:pt idx="6">
                  <c:v>16265.338061132017</c:v>
                </c:pt>
                <c:pt idx="7">
                  <c:v>16580.869578572932</c:v>
                </c:pt>
                <c:pt idx="8">
                  <c:v>16938.71232208658</c:v>
                </c:pt>
                <c:pt idx="9">
                  <c:v>17315.529670143307</c:v>
                </c:pt>
                <c:pt idx="10">
                  <c:v>17723.768704974198</c:v>
                </c:pt>
                <c:pt idx="11">
                  <c:v>18128.517642708237</c:v>
                </c:pt>
                <c:pt idx="12">
                  <c:v>18563.58962383891</c:v>
                </c:pt>
                <c:pt idx="13">
                  <c:v>18998.680449338044</c:v>
                </c:pt>
                <c:pt idx="14">
                  <c:v>19507.753776817954</c:v>
                </c:pt>
                <c:pt idx="15">
                  <c:v>20045.459058920187</c:v>
                </c:pt>
                <c:pt idx="16">
                  <c:v>20609.68424518641</c:v>
                </c:pt>
                <c:pt idx="17">
                  <c:v>21247.502885485916</c:v>
                </c:pt>
                <c:pt idx="18">
                  <c:v>21855.713914054621</c:v>
                </c:pt>
                <c:pt idx="19">
                  <c:v>22504.316095074952</c:v>
                </c:pt>
                <c:pt idx="20">
                  <c:v>23221.113226336343</c:v>
                </c:pt>
                <c:pt idx="21">
                  <c:v>23901.520876840281</c:v>
                </c:pt>
                <c:pt idx="22">
                  <c:v>24586.472441455106</c:v>
                </c:pt>
                <c:pt idx="23">
                  <c:v>25287.095532688621</c:v>
                </c:pt>
                <c:pt idx="24">
                  <c:v>26014.341338808998</c:v>
                </c:pt>
                <c:pt idx="25">
                  <c:v>26713.606381608544</c:v>
                </c:pt>
                <c:pt idx="26">
                  <c:v>27432.717422396443</c:v>
                </c:pt>
                <c:pt idx="27">
                  <c:v>28180.106651399903</c:v>
                </c:pt>
                <c:pt idx="28">
                  <c:v>28956.049057588672</c:v>
                </c:pt>
                <c:pt idx="29">
                  <c:v>29734.176758835722</c:v>
                </c:pt>
                <c:pt idx="30">
                  <c:v>29908.789554708914</c:v>
                </c:pt>
                <c:pt idx="31">
                  <c:v>30013.128709177592</c:v>
                </c:pt>
                <c:pt idx="32">
                  <c:v>30121.11544623278</c:v>
                </c:pt>
                <c:pt idx="33">
                  <c:v>30200.097445551524</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107.58918809338572</c:v>
                </c:pt>
                <c:pt idx="11">
                  <c:v>105.46875617666294</c:v>
                </c:pt>
                <c:pt idx="12">
                  <c:v>103.38133365561069</c:v>
                </c:pt>
                <c:pt idx="13">
                  <c:v>101.29449706092528</c:v>
                </c:pt>
                <c:pt idx="14">
                  <c:v>99.660712786873077</c:v>
                </c:pt>
                <c:pt idx="15">
                  <c:v>98.209446294936669</c:v>
                </c:pt>
                <c:pt idx="16">
                  <c:v>96.860723321028317</c:v>
                </c:pt>
                <c:pt idx="17">
                  <c:v>96.072214770336927</c:v>
                </c:pt>
                <c:pt idx="18">
                  <c:v>95.976114890149461</c:v>
                </c:pt>
                <c:pt idx="19">
                  <c:v>94.874180411535164</c:v>
                </c:pt>
                <c:pt idx="20">
                  <c:v>92.264024091030194</c:v>
                </c:pt>
                <c:pt idx="21">
                  <c:v>91.145477887655204</c:v>
                </c:pt>
                <c:pt idx="22">
                  <c:v>91.392030945032616</c:v>
                </c:pt>
                <c:pt idx="23">
                  <c:v>90.907693511541268</c:v>
                </c:pt>
                <c:pt idx="24">
                  <c:v>90.914883340270251</c:v>
                </c:pt>
                <c:pt idx="25">
                  <c:v>91.622677502711355</c:v>
                </c:pt>
                <c:pt idx="26">
                  <c:v>91.669221580523981</c:v>
                </c:pt>
                <c:pt idx="27">
                  <c:v>91.731221681236903</c:v>
                </c:pt>
                <c:pt idx="28">
                  <c:v>90.858992658624089</c:v>
                </c:pt>
                <c:pt idx="29">
                  <c:v>89.993891799431111</c:v>
                </c:pt>
                <c:pt idx="30">
                  <c:v>89.151677764830268</c:v>
                </c:pt>
                <c:pt idx="31">
                  <c:v>87.389084212264834</c:v>
                </c:pt>
                <c:pt idx="32">
                  <c:v>85.587387509438202</c:v>
                </c:pt>
                <c:pt idx="33">
                  <c:v>83.814322603758242</c:v>
                </c:pt>
                <c:pt idx="34">
                  <c:v>82.960567271946303</c:v>
                </c:pt>
                <c:pt idx="35">
                  <c:v>82.322383124055023</c:v>
                </c:pt>
                <c:pt idx="36">
                  <c:v>81.45886392157513</c:v>
                </c:pt>
                <c:pt idx="37">
                  <c:v>79.794615263463783</c:v>
                </c:pt>
                <c:pt idx="38">
                  <c:v>78.304110051304278</c:v>
                </c:pt>
                <c:pt idx="39">
                  <c:v>76.866959264081899</c:v>
                </c:pt>
                <c:pt idx="40">
                  <c:v>75.434309356233953</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107.58918809338572</c:v>
                </c:pt>
                <c:pt idx="11">
                  <c:v>105.46875617666294</c:v>
                </c:pt>
                <c:pt idx="12">
                  <c:v>103.38133365561069</c:v>
                </c:pt>
                <c:pt idx="13">
                  <c:v>101.29449706092528</c:v>
                </c:pt>
                <c:pt idx="14">
                  <c:v>99.660712786873077</c:v>
                </c:pt>
                <c:pt idx="15">
                  <c:v>98.209446294936669</c:v>
                </c:pt>
                <c:pt idx="16">
                  <c:v>96.860723321028317</c:v>
                </c:pt>
                <c:pt idx="17">
                  <c:v>96.072214770336927</c:v>
                </c:pt>
                <c:pt idx="18">
                  <c:v>95.976114890149461</c:v>
                </c:pt>
                <c:pt idx="19">
                  <c:v>94.874180411535164</c:v>
                </c:pt>
                <c:pt idx="20">
                  <c:v>92.264024091030194</c:v>
                </c:pt>
                <c:pt idx="21">
                  <c:v>91.145477887655204</c:v>
                </c:pt>
                <c:pt idx="22">
                  <c:v>91.392030945032616</c:v>
                </c:pt>
                <c:pt idx="23">
                  <c:v>90.907693511541268</c:v>
                </c:pt>
                <c:pt idx="24">
                  <c:v>90.914883340270251</c:v>
                </c:pt>
                <c:pt idx="25">
                  <c:v>91.622677502711355</c:v>
                </c:pt>
                <c:pt idx="26">
                  <c:v>91.669221580523981</c:v>
                </c:pt>
                <c:pt idx="27">
                  <c:v>91.731221681236903</c:v>
                </c:pt>
                <c:pt idx="28">
                  <c:v>90.858992658624089</c:v>
                </c:pt>
                <c:pt idx="29">
                  <c:v>89.993891799431111</c:v>
                </c:pt>
                <c:pt idx="30">
                  <c:v>89.151677764830268</c:v>
                </c:pt>
                <c:pt idx="31">
                  <c:v>87.389084212264834</c:v>
                </c:pt>
                <c:pt idx="32">
                  <c:v>85.587387509438202</c:v>
                </c:pt>
                <c:pt idx="33">
                  <c:v>83.814322603758242</c:v>
                </c:pt>
                <c:pt idx="34">
                  <c:v>82.960567271946303</c:v>
                </c:pt>
                <c:pt idx="35">
                  <c:v>82.322383124055023</c:v>
                </c:pt>
                <c:pt idx="36">
                  <c:v>81.45886392157513</c:v>
                </c:pt>
                <c:pt idx="37">
                  <c:v>79.794615263463783</c:v>
                </c:pt>
                <c:pt idx="38">
                  <c:v>78.304110051304278</c:v>
                </c:pt>
                <c:pt idx="39">
                  <c:v>76.866959264081899</c:v>
                </c:pt>
                <c:pt idx="40">
                  <c:v>75.434309356233953</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107.95239924758383</c:v>
                </c:pt>
                <c:pt idx="11">
                  <c:v>98.620788883201101</c:v>
                </c:pt>
                <c:pt idx="12">
                  <c:v>95.433860414271194</c:v>
                </c:pt>
                <c:pt idx="13">
                  <c:v>93.895881738038739</c:v>
                </c:pt>
                <c:pt idx="14">
                  <c:v>94.386092219277771</c:v>
                </c:pt>
                <c:pt idx="15">
                  <c:v>94.239453340824994</c:v>
                </c:pt>
                <c:pt idx="16">
                  <c:v>93.354710398498881</c:v>
                </c:pt>
                <c:pt idx="17">
                  <c:v>93.853672466654629</c:v>
                </c:pt>
                <c:pt idx="18">
                  <c:v>93.896575258065937</c:v>
                </c:pt>
                <c:pt idx="19">
                  <c:v>92.909216346454784</c:v>
                </c:pt>
                <c:pt idx="20">
                  <c:v>90.390457433068079</c:v>
                </c:pt>
                <c:pt idx="21">
                  <c:v>89.171255684827301</c:v>
                </c:pt>
                <c:pt idx="22">
                  <c:v>89.317599611891666</c:v>
                </c:pt>
                <c:pt idx="23">
                  <c:v>89.20128796609103</c:v>
                </c:pt>
                <c:pt idx="24">
                  <c:v>89.576153887509733</c:v>
                </c:pt>
                <c:pt idx="25">
                  <c:v>90.651284589796589</c:v>
                </c:pt>
                <c:pt idx="26">
                  <c:v>91.062791895379888</c:v>
                </c:pt>
                <c:pt idx="27">
                  <c:v>91.255684395174598</c:v>
                </c:pt>
                <c:pt idx="28">
                  <c:v>90.618980377352798</c:v>
                </c:pt>
                <c:pt idx="29">
                  <c:v>89.98925965194293</c:v>
                </c:pt>
                <c:pt idx="30">
                  <c:v>89.382285397654201</c:v>
                </c:pt>
                <c:pt idx="31">
                  <c:v>87.852938915185021</c:v>
                </c:pt>
                <c:pt idx="32">
                  <c:v>86.284365799651582</c:v>
                </c:pt>
                <c:pt idx="33">
                  <c:v>84.744304047821643</c:v>
                </c:pt>
                <c:pt idx="34">
                  <c:v>83.244698131368921</c:v>
                </c:pt>
                <c:pt idx="35">
                  <c:v>83.34235916703048</c:v>
                </c:pt>
                <c:pt idx="36">
                  <c:v>82.89483956401763</c:v>
                </c:pt>
                <c:pt idx="37">
                  <c:v>81.59285580658279</c:v>
                </c:pt>
                <c:pt idx="38">
                  <c:v>80.191625382823077</c:v>
                </c:pt>
                <c:pt idx="39">
                  <c:v>78.79584232579802</c:v>
                </c:pt>
                <c:pt idx="40">
                  <c:v>77.359263236759531</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113.56805229285898</c:v>
                </c:pt>
                <c:pt idx="10">
                  <c:v>107.95239924758383</c:v>
                </c:pt>
                <c:pt idx="11">
                  <c:v>98.620788883201101</c:v>
                </c:pt>
                <c:pt idx="12">
                  <c:v>95.433860414271194</c:v>
                </c:pt>
                <c:pt idx="13">
                  <c:v>93.895881738038739</c:v>
                </c:pt>
                <c:pt idx="14">
                  <c:v>94.386092219277771</c:v>
                </c:pt>
                <c:pt idx="15">
                  <c:v>94.239453340824994</c:v>
                </c:pt>
                <c:pt idx="16">
                  <c:v>93.354710398498881</c:v>
                </c:pt>
                <c:pt idx="17">
                  <c:v>93.853672466654629</c:v>
                </c:pt>
                <c:pt idx="18">
                  <c:v>93.896575258065937</c:v>
                </c:pt>
                <c:pt idx="19">
                  <c:v>92.909216346454784</c:v>
                </c:pt>
                <c:pt idx="20">
                  <c:v>90.390457433068079</c:v>
                </c:pt>
                <c:pt idx="21">
                  <c:v>89.171255684827301</c:v>
                </c:pt>
                <c:pt idx="22">
                  <c:v>89.317599611891666</c:v>
                </c:pt>
                <c:pt idx="23">
                  <c:v>89.20128796609103</c:v>
                </c:pt>
                <c:pt idx="24">
                  <c:v>89.576153887509733</c:v>
                </c:pt>
                <c:pt idx="25">
                  <c:v>90.651284589796589</c:v>
                </c:pt>
                <c:pt idx="26">
                  <c:v>91.062791895379888</c:v>
                </c:pt>
                <c:pt idx="27">
                  <c:v>91.255684395174598</c:v>
                </c:pt>
                <c:pt idx="28">
                  <c:v>90.618980377352798</c:v>
                </c:pt>
                <c:pt idx="29">
                  <c:v>89.98925965194293</c:v>
                </c:pt>
                <c:pt idx="30">
                  <c:v>89.382285397654201</c:v>
                </c:pt>
                <c:pt idx="31">
                  <c:v>87.852938915185021</c:v>
                </c:pt>
                <c:pt idx="32">
                  <c:v>86.284365799651582</c:v>
                </c:pt>
                <c:pt idx="33">
                  <c:v>84.744304047821643</c:v>
                </c:pt>
                <c:pt idx="34">
                  <c:v>83.244698131368921</c:v>
                </c:pt>
                <c:pt idx="35">
                  <c:v>83.34235916703048</c:v>
                </c:pt>
                <c:pt idx="36">
                  <c:v>82.89483956401763</c:v>
                </c:pt>
                <c:pt idx="37">
                  <c:v>81.59285580658279</c:v>
                </c:pt>
                <c:pt idx="38">
                  <c:v>80.191625382823077</c:v>
                </c:pt>
                <c:pt idx="39">
                  <c:v>78.79584232579802</c:v>
                </c:pt>
                <c:pt idx="40">
                  <c:v>77.359263236759531</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107.95239924758383</c:v>
                </c:pt>
                <c:pt idx="11">
                  <c:v>98.620788883201101</c:v>
                </c:pt>
                <c:pt idx="12">
                  <c:v>95.433860414271194</c:v>
                </c:pt>
                <c:pt idx="13">
                  <c:v>93.895881738038739</c:v>
                </c:pt>
                <c:pt idx="14">
                  <c:v>94.386092219277771</c:v>
                </c:pt>
                <c:pt idx="15">
                  <c:v>94.239453340824994</c:v>
                </c:pt>
                <c:pt idx="16">
                  <c:v>93.354710398498881</c:v>
                </c:pt>
                <c:pt idx="17">
                  <c:v>93.853672466654629</c:v>
                </c:pt>
                <c:pt idx="18">
                  <c:v>93.896575258065937</c:v>
                </c:pt>
                <c:pt idx="19">
                  <c:v>92.909216346454784</c:v>
                </c:pt>
                <c:pt idx="20">
                  <c:v>90.390457433068079</c:v>
                </c:pt>
                <c:pt idx="21">
                  <c:v>89.171255684827301</c:v>
                </c:pt>
                <c:pt idx="22">
                  <c:v>89.317599611891666</c:v>
                </c:pt>
                <c:pt idx="23">
                  <c:v>89.20128796609103</c:v>
                </c:pt>
                <c:pt idx="24">
                  <c:v>89.576153887509733</c:v>
                </c:pt>
                <c:pt idx="25">
                  <c:v>90.651284589796589</c:v>
                </c:pt>
                <c:pt idx="26">
                  <c:v>91.062791895379888</c:v>
                </c:pt>
                <c:pt idx="27">
                  <c:v>91.255684395174598</c:v>
                </c:pt>
                <c:pt idx="28">
                  <c:v>90.618980377352798</c:v>
                </c:pt>
                <c:pt idx="29">
                  <c:v>89.98925965194293</c:v>
                </c:pt>
                <c:pt idx="30">
                  <c:v>89.382285397654201</c:v>
                </c:pt>
                <c:pt idx="31">
                  <c:v>87.852938915185021</c:v>
                </c:pt>
                <c:pt idx="32">
                  <c:v>86.284365799651582</c:v>
                </c:pt>
                <c:pt idx="33">
                  <c:v>84.744304047821643</c:v>
                </c:pt>
                <c:pt idx="34">
                  <c:v>83.244698131368921</c:v>
                </c:pt>
                <c:pt idx="35">
                  <c:v>83.34235916703048</c:v>
                </c:pt>
                <c:pt idx="36">
                  <c:v>82.89483956401763</c:v>
                </c:pt>
                <c:pt idx="37">
                  <c:v>81.59285580658279</c:v>
                </c:pt>
                <c:pt idx="38">
                  <c:v>80.191625382823077</c:v>
                </c:pt>
                <c:pt idx="39">
                  <c:v>78.79584232579802</c:v>
                </c:pt>
                <c:pt idx="40">
                  <c:v>77.359263236759531</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107.95239924758383</c:v>
                </c:pt>
                <c:pt idx="11">
                  <c:v>98.620788883201101</c:v>
                </c:pt>
                <c:pt idx="12">
                  <c:v>95.433860414271194</c:v>
                </c:pt>
                <c:pt idx="13">
                  <c:v>93.895881738038739</c:v>
                </c:pt>
                <c:pt idx="14">
                  <c:v>94.386092219277771</c:v>
                </c:pt>
                <c:pt idx="15">
                  <c:v>94.239453340824994</c:v>
                </c:pt>
                <c:pt idx="16">
                  <c:v>93.354710398498881</c:v>
                </c:pt>
                <c:pt idx="17">
                  <c:v>93.853672466654629</c:v>
                </c:pt>
                <c:pt idx="18">
                  <c:v>93.896575258065937</c:v>
                </c:pt>
                <c:pt idx="19">
                  <c:v>92.909216346454784</c:v>
                </c:pt>
                <c:pt idx="20">
                  <c:v>90.390457433068079</c:v>
                </c:pt>
                <c:pt idx="21">
                  <c:v>89.171255684827301</c:v>
                </c:pt>
                <c:pt idx="22">
                  <c:v>89.317599611891666</c:v>
                </c:pt>
                <c:pt idx="23">
                  <c:v>89.20128796609103</c:v>
                </c:pt>
                <c:pt idx="24">
                  <c:v>89.576153887509733</c:v>
                </c:pt>
                <c:pt idx="25">
                  <c:v>90.651284589796589</c:v>
                </c:pt>
                <c:pt idx="26">
                  <c:v>91.062791895379888</c:v>
                </c:pt>
                <c:pt idx="27">
                  <c:v>91.255684395174598</c:v>
                </c:pt>
                <c:pt idx="28">
                  <c:v>90.618980377352798</c:v>
                </c:pt>
                <c:pt idx="29">
                  <c:v>89.98925965194293</c:v>
                </c:pt>
                <c:pt idx="30">
                  <c:v>89.382285397654201</c:v>
                </c:pt>
                <c:pt idx="31">
                  <c:v>87.852938915185021</c:v>
                </c:pt>
                <c:pt idx="32">
                  <c:v>86.284365799651582</c:v>
                </c:pt>
                <c:pt idx="33">
                  <c:v>84.744304047821643</c:v>
                </c:pt>
                <c:pt idx="34">
                  <c:v>83.244698131368921</c:v>
                </c:pt>
                <c:pt idx="35">
                  <c:v>83.34235916703048</c:v>
                </c:pt>
                <c:pt idx="36">
                  <c:v>82.89483956401763</c:v>
                </c:pt>
                <c:pt idx="37">
                  <c:v>81.59285580658279</c:v>
                </c:pt>
                <c:pt idx="38">
                  <c:v>80.191625382823077</c:v>
                </c:pt>
                <c:pt idx="39">
                  <c:v>78.79584232579802</c:v>
                </c:pt>
                <c:pt idx="40">
                  <c:v>77.359263236759531</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0.36964202296637522</c:v>
                </c:pt>
                <c:pt idx="11">
                  <c:v>0.3903565592902547</c:v>
                </c:pt>
                <c:pt idx="12">
                  <c:v>0.41034030178003567</c:v>
                </c:pt>
                <c:pt idx="13">
                  <c:v>0.42943967314429082</c:v>
                </c:pt>
                <c:pt idx="14">
                  <c:v>0.4501967784383204</c:v>
                </c:pt>
                <c:pt idx="15">
                  <c:v>0.47104119198988736</c:v>
                </c:pt>
                <c:pt idx="16">
                  <c:v>0.49152306893525899</c:v>
                </c:pt>
                <c:pt idx="17">
                  <c:v>0.51246564716937448</c:v>
                </c:pt>
                <c:pt idx="18">
                  <c:v>0.52510668965462204</c:v>
                </c:pt>
                <c:pt idx="19">
                  <c:v>0.54253322011085781</c:v>
                </c:pt>
                <c:pt idx="20">
                  <c:v>0.56654741033564404</c:v>
                </c:pt>
                <c:pt idx="21">
                  <c:v>0.57769724831666103</c:v>
                </c:pt>
                <c:pt idx="22">
                  <c:v>0.58367631962804156</c:v>
                </c:pt>
                <c:pt idx="23">
                  <c:v>0.59309574242440988</c:v>
                </c:pt>
                <c:pt idx="24">
                  <c:v>0.60136590914713994</c:v>
                </c:pt>
                <c:pt idx="25">
                  <c:v>0.60614560495334957</c:v>
                </c:pt>
                <c:pt idx="26">
                  <c:v>0.61424343080984689</c:v>
                </c:pt>
                <c:pt idx="27">
                  <c:v>0.62324158922585704</c:v>
                </c:pt>
                <c:pt idx="28">
                  <c:v>0.63616481765790334</c:v>
                </c:pt>
                <c:pt idx="29">
                  <c:v>0.64936634706195184</c:v>
                </c:pt>
                <c:pt idx="30">
                  <c:v>0.66291070858592815</c:v>
                </c:pt>
                <c:pt idx="31">
                  <c:v>0.68200423433682533</c:v>
                </c:pt>
                <c:pt idx="32">
                  <c:v>0.7017476249005925</c:v>
                </c:pt>
                <c:pt idx="33">
                  <c:v>0.7224349760388008</c:v>
                </c:pt>
                <c:pt idx="34">
                  <c:v>0.73626092065303739</c:v>
                </c:pt>
                <c:pt idx="35">
                  <c:v>0.74890702546038057</c:v>
                </c:pt>
                <c:pt idx="36">
                  <c:v>0.76039535318329965</c:v>
                </c:pt>
                <c:pt idx="37">
                  <c:v>0.76917104840137818</c:v>
                </c:pt>
                <c:pt idx="38">
                  <c:v>0.77603003654322189</c:v>
                </c:pt>
                <c:pt idx="39">
                  <c:v>0.78268184830591203</c:v>
                </c:pt>
                <c:pt idx="40">
                  <c:v>0.78899855912050099</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0.36964202296637522</c:v>
                </c:pt>
                <c:pt idx="11">
                  <c:v>0.3903565592902547</c:v>
                </c:pt>
                <c:pt idx="12">
                  <c:v>0.41034030178003567</c:v>
                </c:pt>
                <c:pt idx="13">
                  <c:v>0.42943967314429082</c:v>
                </c:pt>
                <c:pt idx="14">
                  <c:v>0.4501967784383204</c:v>
                </c:pt>
                <c:pt idx="15">
                  <c:v>0.47104119198988736</c:v>
                </c:pt>
                <c:pt idx="16">
                  <c:v>0.49152306893525899</c:v>
                </c:pt>
                <c:pt idx="17">
                  <c:v>0.51246564716937448</c:v>
                </c:pt>
                <c:pt idx="18">
                  <c:v>0.52510668965462204</c:v>
                </c:pt>
                <c:pt idx="19">
                  <c:v>0.54253322011085781</c:v>
                </c:pt>
                <c:pt idx="20">
                  <c:v>0.56654741033564404</c:v>
                </c:pt>
                <c:pt idx="21">
                  <c:v>0.57769724831666103</c:v>
                </c:pt>
                <c:pt idx="22">
                  <c:v>0.58367631962804156</c:v>
                </c:pt>
                <c:pt idx="23">
                  <c:v>0.59309574242440988</c:v>
                </c:pt>
                <c:pt idx="24">
                  <c:v>0.60136590914713994</c:v>
                </c:pt>
                <c:pt idx="25">
                  <c:v>0.60614560495334957</c:v>
                </c:pt>
                <c:pt idx="26">
                  <c:v>0.61424343080984689</c:v>
                </c:pt>
                <c:pt idx="27">
                  <c:v>0.62324158922585704</c:v>
                </c:pt>
                <c:pt idx="28">
                  <c:v>0.63616481765790334</c:v>
                </c:pt>
                <c:pt idx="29">
                  <c:v>0.64936634706195184</c:v>
                </c:pt>
                <c:pt idx="30">
                  <c:v>0.66291070858592815</c:v>
                </c:pt>
                <c:pt idx="31">
                  <c:v>0.68200423433682533</c:v>
                </c:pt>
                <c:pt idx="32">
                  <c:v>0.7017476249005925</c:v>
                </c:pt>
                <c:pt idx="33">
                  <c:v>0.7224349760388008</c:v>
                </c:pt>
                <c:pt idx="34">
                  <c:v>0.73626092065303739</c:v>
                </c:pt>
                <c:pt idx="35">
                  <c:v>0.74890702546038057</c:v>
                </c:pt>
                <c:pt idx="36">
                  <c:v>0.76039535318329965</c:v>
                </c:pt>
                <c:pt idx="37">
                  <c:v>0.76917104840137818</c:v>
                </c:pt>
                <c:pt idx="38">
                  <c:v>0.77603003654322189</c:v>
                </c:pt>
                <c:pt idx="39">
                  <c:v>0.78268184830591203</c:v>
                </c:pt>
                <c:pt idx="40">
                  <c:v>0.78899855912050099</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0.40285876264672721</c:v>
                </c:pt>
                <c:pt idx="11">
                  <c:v>0.47547133342759096</c:v>
                </c:pt>
                <c:pt idx="12">
                  <c:v>0.51509093280146467</c:v>
                </c:pt>
                <c:pt idx="13">
                  <c:v>0.53878834184779778</c:v>
                </c:pt>
                <c:pt idx="14">
                  <c:v>0.55585830214516707</c:v>
                </c:pt>
                <c:pt idx="15">
                  <c:v>0.57543432992476073</c:v>
                </c:pt>
                <c:pt idx="16">
                  <c:v>0.59732501516725145</c:v>
                </c:pt>
                <c:pt idx="17">
                  <c:v>0.61492556319430869</c:v>
                </c:pt>
                <c:pt idx="18">
                  <c:v>0.63378805685965334</c:v>
                </c:pt>
                <c:pt idx="19">
                  <c:v>0.65586115488388763</c:v>
                </c:pt>
                <c:pt idx="20">
                  <c:v>0.68235035725790982</c:v>
                </c:pt>
                <c:pt idx="21">
                  <c:v>0.69216296780752284</c:v>
                </c:pt>
                <c:pt idx="22">
                  <c:v>0.69790932595523925</c:v>
                </c:pt>
                <c:pt idx="23">
                  <c:v>0.70419239676867573</c:v>
                </c:pt>
                <c:pt idx="24">
                  <c:v>0.70949230346386294</c:v>
                </c:pt>
                <c:pt idx="25">
                  <c:v>0.71204391973020498</c:v>
                </c:pt>
                <c:pt idx="26">
                  <c:v>0.7171352274777465</c:v>
                </c:pt>
                <c:pt idx="27">
                  <c:v>0.7235911365543789</c:v>
                </c:pt>
                <c:pt idx="28">
                  <c:v>0.7327034368880373</c:v>
                </c:pt>
                <c:pt idx="29">
                  <c:v>0.74196471780807993</c:v>
                </c:pt>
                <c:pt idx="30">
                  <c:v>0.75141980415206011</c:v>
                </c:pt>
                <c:pt idx="31">
                  <c:v>0.76498226738310005</c:v>
                </c:pt>
                <c:pt idx="32">
                  <c:v>0.77892482805097885</c:v>
                </c:pt>
                <c:pt idx="33">
                  <c:v>0.79345321552366188</c:v>
                </c:pt>
                <c:pt idx="34">
                  <c:v>0.80861248392404828</c:v>
                </c:pt>
                <c:pt idx="35">
                  <c:v>0.80901970948511648</c:v>
                </c:pt>
                <c:pt idx="36">
                  <c:v>0.80798867517412687</c:v>
                </c:pt>
                <c:pt idx="37">
                  <c:v>0.80492473503260931</c:v>
                </c:pt>
                <c:pt idx="38">
                  <c:v>0.80151608238477512</c:v>
                </c:pt>
                <c:pt idx="39">
                  <c:v>0.79800015462612761</c:v>
                </c:pt>
                <c:pt idx="40">
                  <c:v>0.79424897161699004</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0.40285876264672721</c:v>
                </c:pt>
                <c:pt idx="11">
                  <c:v>0.47547133342759096</c:v>
                </c:pt>
                <c:pt idx="12">
                  <c:v>0.51509093280146467</c:v>
                </c:pt>
                <c:pt idx="13">
                  <c:v>0.53878834184779778</c:v>
                </c:pt>
                <c:pt idx="14">
                  <c:v>0.55585830214516707</c:v>
                </c:pt>
                <c:pt idx="15">
                  <c:v>0.57543432992476073</c:v>
                </c:pt>
                <c:pt idx="16">
                  <c:v>0.59732501516725145</c:v>
                </c:pt>
                <c:pt idx="17">
                  <c:v>0.61492556319430869</c:v>
                </c:pt>
                <c:pt idx="18">
                  <c:v>0.63378805685965334</c:v>
                </c:pt>
                <c:pt idx="19">
                  <c:v>0.65586115488388763</c:v>
                </c:pt>
                <c:pt idx="20">
                  <c:v>0.68235035725790982</c:v>
                </c:pt>
                <c:pt idx="21">
                  <c:v>0.69216296780752284</c:v>
                </c:pt>
                <c:pt idx="22">
                  <c:v>0.69790932595523925</c:v>
                </c:pt>
                <c:pt idx="23">
                  <c:v>0.70419239676867573</c:v>
                </c:pt>
                <c:pt idx="24">
                  <c:v>0.70949230346386294</c:v>
                </c:pt>
                <c:pt idx="25">
                  <c:v>0.71204391973020498</c:v>
                </c:pt>
                <c:pt idx="26">
                  <c:v>0.7171352274777465</c:v>
                </c:pt>
                <c:pt idx="27">
                  <c:v>0.7235911365543789</c:v>
                </c:pt>
                <c:pt idx="28">
                  <c:v>0.7327034368880373</c:v>
                </c:pt>
                <c:pt idx="29">
                  <c:v>0.74196471780807993</c:v>
                </c:pt>
                <c:pt idx="30">
                  <c:v>0.75141980415206011</c:v>
                </c:pt>
                <c:pt idx="31">
                  <c:v>0.76498226738310005</c:v>
                </c:pt>
                <c:pt idx="32">
                  <c:v>0.77892482805097885</c:v>
                </c:pt>
                <c:pt idx="33">
                  <c:v>0.79345321552366188</c:v>
                </c:pt>
                <c:pt idx="34">
                  <c:v>0.80861248392404828</c:v>
                </c:pt>
                <c:pt idx="35">
                  <c:v>0.80901970948511648</c:v>
                </c:pt>
                <c:pt idx="36">
                  <c:v>0.80798867517412687</c:v>
                </c:pt>
                <c:pt idx="37">
                  <c:v>0.80492473503260931</c:v>
                </c:pt>
                <c:pt idx="38">
                  <c:v>0.80151608238477512</c:v>
                </c:pt>
                <c:pt idx="39">
                  <c:v>0.79800015462612761</c:v>
                </c:pt>
                <c:pt idx="40">
                  <c:v>0.79424897161699004</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0.40285876264672721</c:v>
                </c:pt>
                <c:pt idx="11">
                  <c:v>0.47547133342759096</c:v>
                </c:pt>
                <c:pt idx="12">
                  <c:v>0.51509093280146467</c:v>
                </c:pt>
                <c:pt idx="13">
                  <c:v>0.53878834184779778</c:v>
                </c:pt>
                <c:pt idx="14">
                  <c:v>0.55585830214516707</c:v>
                </c:pt>
                <c:pt idx="15">
                  <c:v>0.57543432992476073</c:v>
                </c:pt>
                <c:pt idx="16">
                  <c:v>0.59732501516725145</c:v>
                </c:pt>
                <c:pt idx="17">
                  <c:v>0.61492556319430869</c:v>
                </c:pt>
                <c:pt idx="18">
                  <c:v>0.63378805685965334</c:v>
                </c:pt>
                <c:pt idx="19">
                  <c:v>0.65586115488388763</c:v>
                </c:pt>
                <c:pt idx="20">
                  <c:v>0.68235035725790982</c:v>
                </c:pt>
                <c:pt idx="21">
                  <c:v>0.69216296780752284</c:v>
                </c:pt>
                <c:pt idx="22">
                  <c:v>0.69790932595523925</c:v>
                </c:pt>
                <c:pt idx="23">
                  <c:v>0.70419239676867573</c:v>
                </c:pt>
                <c:pt idx="24">
                  <c:v>0.70949230346386294</c:v>
                </c:pt>
                <c:pt idx="25">
                  <c:v>0.71204391973020498</c:v>
                </c:pt>
                <c:pt idx="26">
                  <c:v>0.7171352274777465</c:v>
                </c:pt>
                <c:pt idx="27">
                  <c:v>0.7235911365543789</c:v>
                </c:pt>
                <c:pt idx="28">
                  <c:v>0.7327034368880373</c:v>
                </c:pt>
                <c:pt idx="29">
                  <c:v>0.74196471780807993</c:v>
                </c:pt>
                <c:pt idx="30">
                  <c:v>0.75141980415206011</c:v>
                </c:pt>
                <c:pt idx="31">
                  <c:v>0.76498226738310005</c:v>
                </c:pt>
                <c:pt idx="32">
                  <c:v>0.77892482805097885</c:v>
                </c:pt>
                <c:pt idx="33">
                  <c:v>0.79345321552366188</c:v>
                </c:pt>
                <c:pt idx="34">
                  <c:v>0.80861248392404828</c:v>
                </c:pt>
                <c:pt idx="35">
                  <c:v>0.80901970948511648</c:v>
                </c:pt>
                <c:pt idx="36">
                  <c:v>0.80798867517412687</c:v>
                </c:pt>
                <c:pt idx="37">
                  <c:v>0.80492473503260931</c:v>
                </c:pt>
                <c:pt idx="38">
                  <c:v>0.80151608238477512</c:v>
                </c:pt>
                <c:pt idx="39">
                  <c:v>0.79800015462612761</c:v>
                </c:pt>
                <c:pt idx="40">
                  <c:v>0.79424897161699004</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0.40285876264672721</c:v>
                </c:pt>
                <c:pt idx="11">
                  <c:v>0.47547133342759096</c:v>
                </c:pt>
                <c:pt idx="12">
                  <c:v>0.51509093280146467</c:v>
                </c:pt>
                <c:pt idx="13">
                  <c:v>0.53878834184779778</c:v>
                </c:pt>
                <c:pt idx="14">
                  <c:v>0.55585830214516707</c:v>
                </c:pt>
                <c:pt idx="15">
                  <c:v>0.57543432992476073</c:v>
                </c:pt>
                <c:pt idx="16">
                  <c:v>0.59732501516725145</c:v>
                </c:pt>
                <c:pt idx="17">
                  <c:v>0.61492556319430869</c:v>
                </c:pt>
                <c:pt idx="18">
                  <c:v>0.63378805685965334</c:v>
                </c:pt>
                <c:pt idx="19">
                  <c:v>0.65586115488388763</c:v>
                </c:pt>
                <c:pt idx="20">
                  <c:v>0.68235035725790982</c:v>
                </c:pt>
                <c:pt idx="21">
                  <c:v>0.69216296780752284</c:v>
                </c:pt>
                <c:pt idx="22">
                  <c:v>0.69790932595523925</c:v>
                </c:pt>
                <c:pt idx="23">
                  <c:v>0.70419239676867573</c:v>
                </c:pt>
                <c:pt idx="24">
                  <c:v>0.70949230346386294</c:v>
                </c:pt>
                <c:pt idx="25">
                  <c:v>0.71204391973020498</c:v>
                </c:pt>
                <c:pt idx="26">
                  <c:v>0.7171352274777465</c:v>
                </c:pt>
                <c:pt idx="27">
                  <c:v>0.7235911365543789</c:v>
                </c:pt>
                <c:pt idx="28">
                  <c:v>0.7327034368880373</c:v>
                </c:pt>
                <c:pt idx="29">
                  <c:v>0.74196471780807993</c:v>
                </c:pt>
                <c:pt idx="30">
                  <c:v>0.75141980415206011</c:v>
                </c:pt>
                <c:pt idx="31">
                  <c:v>0.76498226738310005</c:v>
                </c:pt>
                <c:pt idx="32">
                  <c:v>0.77892482805097885</c:v>
                </c:pt>
                <c:pt idx="33">
                  <c:v>0.79345321552366188</c:v>
                </c:pt>
                <c:pt idx="34">
                  <c:v>0.80861248392404828</c:v>
                </c:pt>
                <c:pt idx="35">
                  <c:v>0.80901970948511648</c:v>
                </c:pt>
                <c:pt idx="36">
                  <c:v>0.80798867517412687</c:v>
                </c:pt>
                <c:pt idx="37">
                  <c:v>0.80492473503260931</c:v>
                </c:pt>
                <c:pt idx="38">
                  <c:v>0.80151608238477512</c:v>
                </c:pt>
                <c:pt idx="39">
                  <c:v>0.79800015462612761</c:v>
                </c:pt>
                <c:pt idx="40">
                  <c:v>0.79424897161699004</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21611.710115728012</c:v>
                </c:pt>
                <c:pt idx="11">
                  <c:v>21307.037682334205</c:v>
                </c:pt>
                <c:pt idx="12">
                  <c:v>20990.317408033949</c:v>
                </c:pt>
                <c:pt idx="13">
                  <c:v>20673.185325656217</c:v>
                </c:pt>
                <c:pt idx="14">
                  <c:v>20360.957275158162</c:v>
                </c:pt>
                <c:pt idx="15">
                  <c:v>20046.185277654604</c:v>
                </c:pt>
                <c:pt idx="16">
                  <c:v>19727.008452113969</c:v>
                </c:pt>
                <c:pt idx="17">
                  <c:v>19415.61350326211</c:v>
                </c:pt>
                <c:pt idx="18">
                  <c:v>19045.550809637629</c:v>
                </c:pt>
                <c:pt idx="19">
                  <c:v>18692.73165956905</c:v>
                </c:pt>
                <c:pt idx="20">
                  <c:v>18355.999007180832</c:v>
                </c:pt>
                <c:pt idx="21">
                  <c:v>18031.260731751099</c:v>
                </c:pt>
                <c:pt idx="22">
                  <c:v>17721.539836114862</c:v>
                </c:pt>
                <c:pt idx="23">
                  <c:v>17425.996684208898</c:v>
                </c:pt>
                <c:pt idx="24">
                  <c:v>17144.89625586661</c:v>
                </c:pt>
                <c:pt idx="25">
                  <c:v>16875.285877747989</c:v>
                </c:pt>
                <c:pt idx="26">
                  <c:v>16611.790740114699</c:v>
                </c:pt>
                <c:pt idx="27">
                  <c:v>16366.800024559427</c:v>
                </c:pt>
                <c:pt idx="28">
                  <c:v>16133.722904005224</c:v>
                </c:pt>
                <c:pt idx="29">
                  <c:v>15913.025496093693</c:v>
                </c:pt>
                <c:pt idx="30">
                  <c:v>15704.307807938092</c:v>
                </c:pt>
                <c:pt idx="31">
                  <c:v>15501.069968940799</c:v>
                </c:pt>
                <c:pt idx="32">
                  <c:v>15307.460809133714</c:v>
                </c:pt>
                <c:pt idx="33">
                  <c:v>15123.96724875865</c:v>
                </c:pt>
                <c:pt idx="34">
                  <c:v>14950.249896274678</c:v>
                </c:pt>
                <c:pt idx="35">
                  <c:v>14790.680979696972</c:v>
                </c:pt>
                <c:pt idx="36">
                  <c:v>14638.478288260578</c:v>
                </c:pt>
                <c:pt idx="37">
                  <c:v>14492.709270814317</c:v>
                </c:pt>
                <c:pt idx="38">
                  <c:v>14370.267794577496</c:v>
                </c:pt>
                <c:pt idx="39">
                  <c:v>14271.932809833754</c:v>
                </c:pt>
                <c:pt idx="40">
                  <c:v>14196.15048352379</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21845.544799698659</c:v>
                </c:pt>
                <c:pt idx="11">
                  <c:v>21734.879722305981</c:v>
                </c:pt>
                <c:pt idx="12">
                  <c:v>21388.636314782008</c:v>
                </c:pt>
                <c:pt idx="13">
                  <c:v>20940.26310993253</c:v>
                </c:pt>
                <c:pt idx="14">
                  <c:v>20518.591005400383</c:v>
                </c:pt>
                <c:pt idx="15">
                  <c:v>20122.165421482587</c:v>
                </c:pt>
                <c:pt idx="16">
                  <c:v>19740.916783114546</c:v>
                </c:pt>
                <c:pt idx="17">
                  <c:v>19380.995725589004</c:v>
                </c:pt>
                <c:pt idx="18">
                  <c:v>19040.186559442973</c:v>
                </c:pt>
                <c:pt idx="19">
                  <c:v>18717.823897394363</c:v>
                </c:pt>
                <c:pt idx="20">
                  <c:v>18411.911832726495</c:v>
                </c:pt>
                <c:pt idx="21">
                  <c:v>18019.529847927046</c:v>
                </c:pt>
                <c:pt idx="22">
                  <c:v>17637.462979190022</c:v>
                </c:pt>
                <c:pt idx="23">
                  <c:v>17279.894870319185</c:v>
                </c:pt>
                <c:pt idx="24">
                  <c:v>16944.905602902647</c:v>
                </c:pt>
                <c:pt idx="25">
                  <c:v>16629.259980193347</c:v>
                </c:pt>
                <c:pt idx="26">
                  <c:v>16326.649292283833</c:v>
                </c:pt>
                <c:pt idx="27">
                  <c:v>16043.494322970313</c:v>
                </c:pt>
                <c:pt idx="28">
                  <c:v>15776.670764249895</c:v>
                </c:pt>
                <c:pt idx="29">
                  <c:v>15526.248230434909</c:v>
                </c:pt>
                <c:pt idx="30">
                  <c:v>15291.690653989157</c:v>
                </c:pt>
                <c:pt idx="31">
                  <c:v>15065.968111561726</c:v>
                </c:pt>
                <c:pt idx="32">
                  <c:v>14853.596798658889</c:v>
                </c:pt>
                <c:pt idx="33">
                  <c:v>14654.945273260062</c:v>
                </c:pt>
                <c:pt idx="34">
                  <c:v>14469.561366286092</c:v>
                </c:pt>
                <c:pt idx="35">
                  <c:v>14296.847208528992</c:v>
                </c:pt>
                <c:pt idx="36">
                  <c:v>14137.613696793578</c:v>
                </c:pt>
                <c:pt idx="37">
                  <c:v>13989.204552475192</c:v>
                </c:pt>
                <c:pt idx="38">
                  <c:v>13862.008018966186</c:v>
                </c:pt>
                <c:pt idx="39">
                  <c:v>13756.534689767483</c:v>
                </c:pt>
                <c:pt idx="40">
                  <c:v>13671.05290130739</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21600.865881404265</c:v>
                </c:pt>
                <c:pt idx="11">
                  <c:v>21336.882110898263</c:v>
                </c:pt>
                <c:pt idx="12">
                  <c:v>20845.553584813111</c:v>
                </c:pt>
                <c:pt idx="13">
                  <c:v>20394.809400512961</c:v>
                </c:pt>
                <c:pt idx="14">
                  <c:v>19970.495752488889</c:v>
                </c:pt>
                <c:pt idx="15">
                  <c:v>19571.075039302548</c:v>
                </c:pt>
                <c:pt idx="16">
                  <c:v>19186.676005146895</c:v>
                </c:pt>
                <c:pt idx="17">
                  <c:v>18823.343133597475</c:v>
                </c:pt>
                <c:pt idx="18">
                  <c:v>18479.157510064884</c:v>
                </c:pt>
                <c:pt idx="19">
                  <c:v>18153.16599155392</c:v>
                </c:pt>
                <c:pt idx="20">
                  <c:v>17843.630280180172</c:v>
                </c:pt>
                <c:pt idx="21">
                  <c:v>17447.000623345742</c:v>
                </c:pt>
                <c:pt idx="22">
                  <c:v>17060.438726619272</c:v>
                </c:pt>
                <c:pt idx="23">
                  <c:v>16698.146428970154</c:v>
                </c:pt>
                <c:pt idx="24">
                  <c:v>16357.803643444866</c:v>
                </c:pt>
                <c:pt idx="25">
                  <c:v>16037.053159616353</c:v>
                </c:pt>
                <c:pt idx="26">
                  <c:v>15728.991083127141</c:v>
                </c:pt>
                <c:pt idx="27">
                  <c:v>15439.80175009473</c:v>
                </c:pt>
                <c:pt idx="28">
                  <c:v>15167.250577609177</c:v>
                </c:pt>
                <c:pt idx="29">
                  <c:v>14911.059186406063</c:v>
                </c:pt>
                <c:pt idx="30">
                  <c:v>14670.597020094669</c:v>
                </c:pt>
                <c:pt idx="31">
                  <c:v>14438.741157925762</c:v>
                </c:pt>
                <c:pt idx="32">
                  <c:v>14220.472231612037</c:v>
                </c:pt>
                <c:pt idx="33">
                  <c:v>14015.752144284546</c:v>
                </c:pt>
                <c:pt idx="34">
                  <c:v>13824.057136306224</c:v>
                </c:pt>
                <c:pt idx="35">
                  <c:v>13644.787121821126</c:v>
                </c:pt>
                <c:pt idx="36">
                  <c:v>13478.977386026494</c:v>
                </c:pt>
                <c:pt idx="37">
                  <c:v>13329.123429280095</c:v>
                </c:pt>
                <c:pt idx="38">
                  <c:v>13201.07809632972</c:v>
                </c:pt>
                <c:pt idx="39">
                  <c:v>13094.723342859659</c:v>
                </c:pt>
                <c:pt idx="40">
                  <c:v>13008.605327579957</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8.7685876347071812E-2</c:v>
                </c:pt>
                <c:pt idx="22">
                  <c:v>0.10394016738010314</c:v>
                </c:pt>
                <c:pt idx="23">
                  <c:v>0.11889879957863858</c:v>
                </c:pt>
                <c:pt idx="24">
                  <c:v>0.13265100107403016</c:v>
                </c:pt>
                <c:pt idx="25">
                  <c:v>0.14528032436176563</c:v>
                </c:pt>
                <c:pt idx="26">
                  <c:v>0.15588583154405877</c:v>
                </c:pt>
                <c:pt idx="27">
                  <c:v>0.16554621920854717</c:v>
                </c:pt>
                <c:pt idx="28">
                  <c:v>0.18787758011779954</c:v>
                </c:pt>
                <c:pt idx="29">
                  <c:v>0.20894363003364869</c:v>
                </c:pt>
                <c:pt idx="30">
                  <c:v>0.22882200098597416</c:v>
                </c:pt>
                <c:pt idx="31">
                  <c:v>0.24572749882361522</c:v>
                </c:pt>
                <c:pt idx="32">
                  <c:v>0.26236415346842734</c:v>
                </c:pt>
                <c:pt idx="33">
                  <c:v>0.27873582031809607</c:v>
                </c:pt>
                <c:pt idx="34">
                  <c:v>0.29484629303664733</c:v>
                </c:pt>
                <c:pt idx="35">
                  <c:v>0.31069930485615582</c:v>
                </c:pt>
                <c:pt idx="36">
                  <c:v>0.32580167937132221</c:v>
                </c:pt>
                <c:pt idx="37">
                  <c:v>0.33280193124638935</c:v>
                </c:pt>
                <c:pt idx="38">
                  <c:v>0.3432238595609628</c:v>
                </c:pt>
                <c:pt idx="39">
                  <c:v>0.35350649570399229</c:v>
                </c:pt>
                <c:pt idx="40">
                  <c:v>0.36365151761921655</c:v>
                </c:pt>
                <c:pt idx="41">
                  <c:v>0.37326134680596657</c:v>
                </c:pt>
                <c:pt idx="42">
                  <c:v>0.38275965270757828</c:v>
                </c:pt>
                <c:pt idx="43">
                  <c:v>0.39214758076794598</c:v>
                </c:pt>
                <c:pt idx="44">
                  <c:v>0.40142626362055789</c:v>
                </c:pt>
                <c:pt idx="45">
                  <c:v>0.41059682127280317</c:v>
                </c:pt>
                <c:pt idx="46">
                  <c:v>0.41931610360905747</c:v>
                </c:pt>
                <c:pt idx="47">
                  <c:v>0.4279500163115344</c:v>
                </c:pt>
                <c:pt idx="48">
                  <c:v>0.42949384463559215</c:v>
                </c:pt>
                <c:pt idx="49">
                  <c:v>0.43102944159952994</c:v>
                </c:pt>
                <c:pt idx="50">
                  <c:v>0.43255685448712144</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0.17026577692957634</c:v>
                </c:pt>
                <c:pt idx="21">
                  <c:v>0.19830592701672844</c:v>
                </c:pt>
                <c:pt idx="22">
                  <c:v>0.22381783042111114</c:v>
                </c:pt>
                <c:pt idx="23">
                  <c:v>0.23722934686853547</c:v>
                </c:pt>
                <c:pt idx="24">
                  <c:v>0.26177150410927696</c:v>
                </c:pt>
                <c:pt idx="25">
                  <c:v>0.28038453844312683</c:v>
                </c:pt>
                <c:pt idx="26">
                  <c:v>0.29324693266375179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0.36061817011653774</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0.42949271482438578</c:v>
                </c:pt>
                <c:pt idx="43">
                  <c:v>0.44209693920459781</c:v>
                </c:pt>
                <c:pt idx="44">
                  <c:v>0.44730310913265492</c:v>
                </c:pt>
                <c:pt idx="45">
                  <c:v>0.45112073345816417</c:v>
                </c:pt>
                <c:pt idx="46">
                  <c:v>0.45030920412718844</c:v>
                </c:pt>
                <c:pt idx="47">
                  <c:v>0.4467626894601725</c:v>
                </c:pt>
                <c:pt idx="48">
                  <c:v>0.4422390627069317</c:v>
                </c:pt>
                <c:pt idx="49">
                  <c:v>0.43695449014514709</c:v>
                </c:pt>
                <c:pt idx="50">
                  <c:v>0.43069996963844281</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0.17026577692957634</c:v>
                </c:pt>
                <c:pt idx="21">
                  <c:v>0.19830592701672844</c:v>
                </c:pt>
                <c:pt idx="22">
                  <c:v>0.22381783042111114</c:v>
                </c:pt>
                <c:pt idx="23">
                  <c:v>0.23722934686853547</c:v>
                </c:pt>
                <c:pt idx="24">
                  <c:v>0.26177150410927696</c:v>
                </c:pt>
                <c:pt idx="25">
                  <c:v>0.28038453844312683</c:v>
                </c:pt>
                <c:pt idx="26">
                  <c:v>0.29324693266375179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0.36061817011653774</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0.42949271482438578</c:v>
                </c:pt>
                <c:pt idx="43">
                  <c:v>0.44209693920459781</c:v>
                </c:pt>
                <c:pt idx="44">
                  <c:v>0.44730310913265492</c:v>
                </c:pt>
                <c:pt idx="45">
                  <c:v>0.45112073345816417</c:v>
                </c:pt>
                <c:pt idx="46">
                  <c:v>0.45030920412718844</c:v>
                </c:pt>
                <c:pt idx="47">
                  <c:v>0.4467626894601725</c:v>
                </c:pt>
                <c:pt idx="48">
                  <c:v>0.4422390627069317</c:v>
                </c:pt>
                <c:pt idx="49">
                  <c:v>0.43695449014514709</c:v>
                </c:pt>
                <c:pt idx="50">
                  <c:v>0.43069996963844281</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0.1684079773439997</c:v>
                </c:pt>
                <c:pt idx="21">
                  <c:v>0.2626773687912114</c:v>
                </c:pt>
                <c:pt idx="22">
                  <c:v>0.28726458187406279</c:v>
                </c:pt>
                <c:pt idx="23">
                  <c:v>0.29462639386268963</c:v>
                </c:pt>
                <c:pt idx="24">
                  <c:v>0.29663005775103268</c:v>
                </c:pt>
                <c:pt idx="25">
                  <c:v>0.30094157176700709</c:v>
                </c:pt>
                <c:pt idx="26">
                  <c:v>0.30754375164867309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0.36061817011653796</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0.42949271482438589</c:v>
                </c:pt>
                <c:pt idx="43">
                  <c:v>0.44209693920459781</c:v>
                </c:pt>
                <c:pt idx="44">
                  <c:v>0.45484697697563492</c:v>
                </c:pt>
                <c:pt idx="45">
                  <c:v>0.45434689297828268</c:v>
                </c:pt>
                <c:pt idx="46">
                  <c:v>0.45196529108273187</c:v>
                </c:pt>
                <c:pt idx="47">
                  <c:v>0.44729098891106789</c:v>
                </c:pt>
                <c:pt idx="48">
                  <c:v>0.44203659562877717</c:v>
                </c:pt>
                <c:pt idx="49">
                  <c:v>0.43642990435828954</c:v>
                </c:pt>
                <c:pt idx="50">
                  <c:v>0.43028001041466668</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0.1684079773439997</c:v>
                </c:pt>
                <c:pt idx="21">
                  <c:v>0.2626773687912114</c:v>
                </c:pt>
                <c:pt idx="22">
                  <c:v>0.28726458187406279</c:v>
                </c:pt>
                <c:pt idx="23">
                  <c:v>0.29462639386268963</c:v>
                </c:pt>
                <c:pt idx="24">
                  <c:v>0.29663005775103268</c:v>
                </c:pt>
                <c:pt idx="25">
                  <c:v>0.30094157176700709</c:v>
                </c:pt>
                <c:pt idx="26">
                  <c:v>0.30754375164867309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0.36061817011653796</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0.42949271482438589</c:v>
                </c:pt>
                <c:pt idx="43">
                  <c:v>0.44209693920459781</c:v>
                </c:pt>
                <c:pt idx="44">
                  <c:v>0.45484697697563492</c:v>
                </c:pt>
                <c:pt idx="45">
                  <c:v>0.45434689297828268</c:v>
                </c:pt>
                <c:pt idx="46">
                  <c:v>0.45196529108273187</c:v>
                </c:pt>
                <c:pt idx="47">
                  <c:v>0.44729098891106789</c:v>
                </c:pt>
                <c:pt idx="48">
                  <c:v>0.44203659562877717</c:v>
                </c:pt>
                <c:pt idx="49">
                  <c:v>0.43642990435828954</c:v>
                </c:pt>
                <c:pt idx="50">
                  <c:v>0.43028001041466668</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0.1684079773439997</c:v>
                </c:pt>
                <c:pt idx="21">
                  <c:v>0.2626773687912114</c:v>
                </c:pt>
                <c:pt idx="22">
                  <c:v>0.28726458187406279</c:v>
                </c:pt>
                <c:pt idx="23">
                  <c:v>0.29462639386268963</c:v>
                </c:pt>
                <c:pt idx="24">
                  <c:v>0.29663005775103268</c:v>
                </c:pt>
                <c:pt idx="25">
                  <c:v>0.30094157176700709</c:v>
                </c:pt>
                <c:pt idx="26">
                  <c:v>0.30754375164867309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0.36061817011653796</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0.42949271482438589</c:v>
                </c:pt>
                <c:pt idx="43">
                  <c:v>0.44209693920459781</c:v>
                </c:pt>
                <c:pt idx="44">
                  <c:v>0.45484697697563492</c:v>
                </c:pt>
                <c:pt idx="45">
                  <c:v>0.45434689297828268</c:v>
                </c:pt>
                <c:pt idx="46">
                  <c:v>0.45196529108273187</c:v>
                </c:pt>
                <c:pt idx="47">
                  <c:v>0.44729098891106789</c:v>
                </c:pt>
                <c:pt idx="48">
                  <c:v>0.44203659562877717</c:v>
                </c:pt>
                <c:pt idx="49">
                  <c:v>0.43642990435828954</c:v>
                </c:pt>
                <c:pt idx="50">
                  <c:v>0.43028001041466668</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0.1684079773439997</c:v>
                </c:pt>
                <c:pt idx="21">
                  <c:v>0.2626773687912114</c:v>
                </c:pt>
                <c:pt idx="22">
                  <c:v>0.28726458187406279</c:v>
                </c:pt>
                <c:pt idx="23">
                  <c:v>0.29462639386268963</c:v>
                </c:pt>
                <c:pt idx="24">
                  <c:v>0.29663005775103268</c:v>
                </c:pt>
                <c:pt idx="25">
                  <c:v>0.30094157176700709</c:v>
                </c:pt>
                <c:pt idx="26">
                  <c:v>0.30754375164867309</c:v>
                </c:pt>
                <c:pt idx="27">
                  <c:v>0.31044005724397417</c:v>
                </c:pt>
                <c:pt idx="28">
                  <c:v>0.31454304981852543</c:v>
                </c:pt>
                <c:pt idx="29">
                  <c:v>0.32198423880985849</c:v>
                </c:pt>
                <c:pt idx="30">
                  <c:v>0.33416712207572952</c:v>
                </c:pt>
                <c:pt idx="31">
                  <c:v>0.34284240625384033</c:v>
                </c:pt>
                <c:pt idx="32">
                  <c:v>0.34737754235140295</c:v>
                </c:pt>
                <c:pt idx="33">
                  <c:v>0.35445223039388429</c:v>
                </c:pt>
                <c:pt idx="34">
                  <c:v>0.36061817011653796</c:v>
                </c:pt>
                <c:pt idx="35">
                  <c:v>0.36401779390258671</c:v>
                </c:pt>
                <c:pt idx="36">
                  <c:v>0.3698209800126665</c:v>
                </c:pt>
                <c:pt idx="37">
                  <c:v>0.37688115895069452</c:v>
                </c:pt>
                <c:pt idx="38">
                  <c:v>0.38613740663076912</c:v>
                </c:pt>
                <c:pt idx="39">
                  <c:v>0.39532290274769877</c:v>
                </c:pt>
                <c:pt idx="40">
                  <c:v>0.4044885695009669</c:v>
                </c:pt>
                <c:pt idx="41">
                  <c:v>0.41702627838995165</c:v>
                </c:pt>
                <c:pt idx="42">
                  <c:v>0.42949271482438589</c:v>
                </c:pt>
                <c:pt idx="43">
                  <c:v>0.44209693920459781</c:v>
                </c:pt>
                <c:pt idx="44">
                  <c:v>0.45484697697563492</c:v>
                </c:pt>
                <c:pt idx="45">
                  <c:v>0.45434689297828268</c:v>
                </c:pt>
                <c:pt idx="46">
                  <c:v>0.45196529108273187</c:v>
                </c:pt>
                <c:pt idx="47">
                  <c:v>0.44729098891106789</c:v>
                </c:pt>
                <c:pt idx="48">
                  <c:v>0.44203659562877717</c:v>
                </c:pt>
                <c:pt idx="49">
                  <c:v>0.43642990435828954</c:v>
                </c:pt>
                <c:pt idx="50">
                  <c:v>0.43028001041466668</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15967.266104287712</c:v>
                </c:pt>
                <c:pt idx="12">
                  <c:v>15523.048824568217</c:v>
                </c:pt>
                <c:pt idx="13">
                  <c:v>15071.155735754264</c:v>
                </c:pt>
                <c:pt idx="14">
                  <c:v>14621.919027456328</c:v>
                </c:pt>
                <c:pt idx="15">
                  <c:v>14167.666973402589</c:v>
                </c:pt>
                <c:pt idx="16">
                  <c:v>13714.18171476329</c:v>
                </c:pt>
                <c:pt idx="17">
                  <c:v>13266.4652789832</c:v>
                </c:pt>
                <c:pt idx="18">
                  <c:v>12820.974637384072</c:v>
                </c:pt>
                <c:pt idx="19">
                  <c:v>12390.169403660982</c:v>
                </c:pt>
                <c:pt idx="20">
                  <c:v>11973.576620492506</c:v>
                </c:pt>
                <c:pt idx="21">
                  <c:v>11570.740672563817</c:v>
                </c:pt>
                <c:pt idx="22">
                  <c:v>11181.265569617397</c:v>
                </c:pt>
                <c:pt idx="23">
                  <c:v>10804.347504345562</c:v>
                </c:pt>
                <c:pt idx="24">
                  <c:v>10439.221766072465</c:v>
                </c:pt>
                <c:pt idx="25">
                  <c:v>10085.160840689305</c:v>
                </c:pt>
                <c:pt idx="26">
                  <c:v>9741.4726030189322</c:v>
                </c:pt>
                <c:pt idx="27">
                  <c:v>9407.4499404480921</c:v>
                </c:pt>
                <c:pt idx="28">
                  <c:v>9088.1568433507146</c:v>
                </c:pt>
                <c:pt idx="29">
                  <c:v>8780.2581012690935</c:v>
                </c:pt>
                <c:pt idx="30">
                  <c:v>8483.1047732978714</c:v>
                </c:pt>
                <c:pt idx="31">
                  <c:v>8196.079472862044</c:v>
                </c:pt>
                <c:pt idx="32">
                  <c:v>7918.5549550714541</c:v>
                </c:pt>
                <c:pt idx="33">
                  <c:v>7649.9765492472843</c:v>
                </c:pt>
                <c:pt idx="34">
                  <c:v>7389.8165195718138</c:v>
                </c:pt>
                <c:pt idx="35">
                  <c:v>7142.4353851683636</c:v>
                </c:pt>
                <c:pt idx="36">
                  <c:v>6908.1521411150343</c:v>
                </c:pt>
                <c:pt idx="37">
                  <c:v>6692.7818716798565</c:v>
                </c:pt>
                <c:pt idx="38">
                  <c:v>6495.5949769390181</c:v>
                </c:pt>
                <c:pt idx="39">
                  <c:v>6321.8508363284409</c:v>
                </c:pt>
                <c:pt idx="40">
                  <c:v>6170.6988144458865</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996.2159431384564</c:v>
                </c:pt>
                <c:pt idx="11">
                  <c:v>1055.2091780138935</c:v>
                </c:pt>
                <c:pt idx="12">
                  <c:v>1110.2046517234085</c:v>
                </c:pt>
                <c:pt idx="13">
                  <c:v>1170.9342838477025</c:v>
                </c:pt>
                <c:pt idx="14">
                  <c:v>1232.3694385235497</c:v>
                </c:pt>
                <c:pt idx="15">
                  <c:v>1294.7210673333775</c:v>
                </c:pt>
                <c:pt idx="16">
                  <c:v>1357.4836918972953</c:v>
                </c:pt>
                <c:pt idx="17">
                  <c:v>1420.9269198340637</c:v>
                </c:pt>
                <c:pt idx="18">
                  <c:v>1429.6939059656322</c:v>
                </c:pt>
                <c:pt idx="19">
                  <c:v>1439.1176985175302</c:v>
                </c:pt>
                <c:pt idx="20">
                  <c:v>1448.5418992442292</c:v>
                </c:pt>
                <c:pt idx="21">
                  <c:v>1459.5685836549499</c:v>
                </c:pt>
                <c:pt idx="22">
                  <c:v>1471.2154449844763</c:v>
                </c:pt>
                <c:pt idx="23">
                  <c:v>1483.4367355720949</c:v>
                </c:pt>
                <c:pt idx="24">
                  <c:v>1497.2520829458686</c:v>
                </c:pt>
                <c:pt idx="25">
                  <c:v>1510.4261203686244</c:v>
                </c:pt>
                <c:pt idx="26">
                  <c:v>1524.4750425418231</c:v>
                </c:pt>
                <c:pt idx="27">
                  <c:v>1540.0010882532663</c:v>
                </c:pt>
                <c:pt idx="28">
                  <c:v>1554.7389266505122</c:v>
                </c:pt>
                <c:pt idx="29">
                  <c:v>1569.5751876210604</c:v>
                </c:pt>
                <c:pt idx="30">
                  <c:v>1584.7508986647715</c:v>
                </c:pt>
                <c:pt idx="31">
                  <c:v>1600.5032658783659</c:v>
                </c:pt>
                <c:pt idx="32">
                  <c:v>1615.6495611764715</c:v>
                </c:pt>
                <c:pt idx="33">
                  <c:v>1631.2257268779565</c:v>
                </c:pt>
                <c:pt idx="34">
                  <c:v>1647.4144068093724</c:v>
                </c:pt>
                <c:pt idx="35">
                  <c:v>1664.2215573161466</c:v>
                </c:pt>
                <c:pt idx="36">
                  <c:v>1681.0760419841331</c:v>
                </c:pt>
                <c:pt idx="37">
                  <c:v>1684.8582086981087</c:v>
                </c:pt>
                <c:pt idx="38">
                  <c:v>1687.1182267856855</c:v>
                </c:pt>
                <c:pt idx="39">
                  <c:v>1689.4572526308339</c:v>
                </c:pt>
                <c:pt idx="40">
                  <c:v>1691.1680269605888</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15967.266104287712</c:v>
                </c:pt>
                <c:pt idx="12">
                  <c:v>15523.048824568217</c:v>
                </c:pt>
                <c:pt idx="13">
                  <c:v>15071.155735754264</c:v>
                </c:pt>
                <c:pt idx="14">
                  <c:v>14621.919027456328</c:v>
                </c:pt>
                <c:pt idx="15">
                  <c:v>14167.666973402589</c:v>
                </c:pt>
                <c:pt idx="16">
                  <c:v>13714.18171476329</c:v>
                </c:pt>
                <c:pt idx="17">
                  <c:v>13266.4652789832</c:v>
                </c:pt>
                <c:pt idx="18">
                  <c:v>12820.974637384072</c:v>
                </c:pt>
                <c:pt idx="19">
                  <c:v>12390.169403660982</c:v>
                </c:pt>
                <c:pt idx="20">
                  <c:v>11973.576620492506</c:v>
                </c:pt>
                <c:pt idx="21">
                  <c:v>11570.740672563817</c:v>
                </c:pt>
                <c:pt idx="22">
                  <c:v>11181.265569617397</c:v>
                </c:pt>
                <c:pt idx="23">
                  <c:v>10804.347504345562</c:v>
                </c:pt>
                <c:pt idx="24">
                  <c:v>10439.221766072465</c:v>
                </c:pt>
                <c:pt idx="25">
                  <c:v>10085.160840689305</c:v>
                </c:pt>
                <c:pt idx="26">
                  <c:v>9741.4726030189322</c:v>
                </c:pt>
                <c:pt idx="27">
                  <c:v>9407.4499404480921</c:v>
                </c:pt>
                <c:pt idx="28">
                  <c:v>9088.1568433507146</c:v>
                </c:pt>
                <c:pt idx="29">
                  <c:v>8780.2581012690935</c:v>
                </c:pt>
                <c:pt idx="30">
                  <c:v>8483.1047732978714</c:v>
                </c:pt>
                <c:pt idx="31">
                  <c:v>8196.079472862044</c:v>
                </c:pt>
                <c:pt idx="32">
                  <c:v>7918.5549550714541</c:v>
                </c:pt>
                <c:pt idx="33">
                  <c:v>7649.9765492472843</c:v>
                </c:pt>
                <c:pt idx="34">
                  <c:v>7389.8165195718138</c:v>
                </c:pt>
                <c:pt idx="35">
                  <c:v>7142.4353851683636</c:v>
                </c:pt>
                <c:pt idx="36">
                  <c:v>6908.1521411150343</c:v>
                </c:pt>
                <c:pt idx="37">
                  <c:v>6692.7818716798565</c:v>
                </c:pt>
                <c:pt idx="38">
                  <c:v>6495.5949769390181</c:v>
                </c:pt>
                <c:pt idx="39">
                  <c:v>6321.8508363284409</c:v>
                </c:pt>
                <c:pt idx="40">
                  <c:v>6170.6988144458865</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996.2159431384564</c:v>
                </c:pt>
                <c:pt idx="11">
                  <c:v>1055.2091780138935</c:v>
                </c:pt>
                <c:pt idx="12">
                  <c:v>1110.2046517234085</c:v>
                </c:pt>
                <c:pt idx="13">
                  <c:v>1170.9342838477025</c:v>
                </c:pt>
                <c:pt idx="14">
                  <c:v>1232.3694385235497</c:v>
                </c:pt>
                <c:pt idx="15">
                  <c:v>1294.7210673333775</c:v>
                </c:pt>
                <c:pt idx="16">
                  <c:v>1357.4836918972953</c:v>
                </c:pt>
                <c:pt idx="17">
                  <c:v>1420.9269198340637</c:v>
                </c:pt>
                <c:pt idx="18">
                  <c:v>1429.6939059656322</c:v>
                </c:pt>
                <c:pt idx="19">
                  <c:v>1439.1176985175302</c:v>
                </c:pt>
                <c:pt idx="20">
                  <c:v>1448.5418992442292</c:v>
                </c:pt>
                <c:pt idx="21">
                  <c:v>1459.5685836549499</c:v>
                </c:pt>
                <c:pt idx="22">
                  <c:v>1471.2154449844763</c:v>
                </c:pt>
                <c:pt idx="23">
                  <c:v>1483.4367355720949</c:v>
                </c:pt>
                <c:pt idx="24">
                  <c:v>1497.2520829458686</c:v>
                </c:pt>
                <c:pt idx="25">
                  <c:v>1510.4261203686244</c:v>
                </c:pt>
                <c:pt idx="26">
                  <c:v>1524.4750425418231</c:v>
                </c:pt>
                <c:pt idx="27">
                  <c:v>1540.0010882532663</c:v>
                </c:pt>
                <c:pt idx="28">
                  <c:v>1554.7389266505122</c:v>
                </c:pt>
                <c:pt idx="29">
                  <c:v>1569.5751876210604</c:v>
                </c:pt>
                <c:pt idx="30">
                  <c:v>1584.7508986647715</c:v>
                </c:pt>
                <c:pt idx="31">
                  <c:v>1600.5032658783659</c:v>
                </c:pt>
                <c:pt idx="32">
                  <c:v>1615.6495611764715</c:v>
                </c:pt>
                <c:pt idx="33">
                  <c:v>1631.2257268779565</c:v>
                </c:pt>
                <c:pt idx="34">
                  <c:v>1647.4144068093724</c:v>
                </c:pt>
                <c:pt idx="35">
                  <c:v>1664.2215573161466</c:v>
                </c:pt>
                <c:pt idx="36">
                  <c:v>1681.0760419841331</c:v>
                </c:pt>
                <c:pt idx="37">
                  <c:v>1684.8582086981087</c:v>
                </c:pt>
                <c:pt idx="38">
                  <c:v>1687.1182267856855</c:v>
                </c:pt>
                <c:pt idx="39">
                  <c:v>1689.4572526308339</c:v>
                </c:pt>
                <c:pt idx="40">
                  <c:v>1691.1680269605888</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15982.545292411505</c:v>
                </c:pt>
                <c:pt idx="12">
                  <c:v>15440.121907106282</c:v>
                </c:pt>
                <c:pt idx="13">
                  <c:v>14860.420240425958</c:v>
                </c:pt>
                <c:pt idx="14">
                  <c:v>14304.336070593596</c:v>
                </c:pt>
                <c:pt idx="15">
                  <c:v>13770.169985699875</c:v>
                </c:pt>
                <c:pt idx="16">
                  <c:v>13256.295502003479</c:v>
                </c:pt>
                <c:pt idx="17">
                  <c:v>12761.075530210079</c:v>
                </c:pt>
                <c:pt idx="18">
                  <c:v>12283.028562301317</c:v>
                </c:pt>
                <c:pt idx="19">
                  <c:v>11820.734792124991</c:v>
                </c:pt>
                <c:pt idx="20">
                  <c:v>11372.832716117027</c:v>
                </c:pt>
                <c:pt idx="21">
                  <c:v>10938.015874931243</c:v>
                </c:pt>
                <c:pt idx="22">
                  <c:v>10512.401699469703</c:v>
                </c:pt>
                <c:pt idx="23">
                  <c:v>10095.492990191913</c:v>
                </c:pt>
                <c:pt idx="24">
                  <c:v>9699.1602725925241</c:v>
                </c:pt>
                <c:pt idx="25">
                  <c:v>9322.4003422276965</c:v>
                </c:pt>
                <c:pt idx="26">
                  <c:v>8964.2588793527611</c:v>
                </c:pt>
                <c:pt idx="27">
                  <c:v>8623.7876449373271</c:v>
                </c:pt>
                <c:pt idx="28">
                  <c:v>8300.1254720137076</c:v>
                </c:pt>
                <c:pt idx="29">
                  <c:v>7992.4531378525389</c:v>
                </c:pt>
                <c:pt idx="30">
                  <c:v>7699.9913228316873</c:v>
                </c:pt>
                <c:pt idx="31">
                  <c:v>7421.9986685750537</c:v>
                </c:pt>
                <c:pt idx="32">
                  <c:v>7157.7333708271699</c:v>
                </c:pt>
                <c:pt idx="33">
                  <c:v>6906.5266548716372</c:v>
                </c:pt>
                <c:pt idx="34">
                  <c:v>6667.7423081871002</c:v>
                </c:pt>
                <c:pt idx="35">
                  <c:v>6440.7750963206854</c:v>
                </c:pt>
                <c:pt idx="36">
                  <c:v>6233.7164522342264</c:v>
                </c:pt>
                <c:pt idx="37">
                  <c:v>6050.3943933179316</c:v>
                </c:pt>
                <c:pt idx="38">
                  <c:v>5889.6461958303862</c:v>
                </c:pt>
                <c:pt idx="39">
                  <c:v>5750.3804947589115</c:v>
                </c:pt>
                <c:pt idx="40">
                  <c:v>5631.5720793337459</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1051.6756714552828</c:v>
                </c:pt>
                <c:pt idx="11">
                  <c:v>1275.3299251108208</c:v>
                </c:pt>
                <c:pt idx="12">
                  <c:v>1383.2078778815937</c:v>
                </c:pt>
                <c:pt idx="13">
                  <c:v>1389.3368647742509</c:v>
                </c:pt>
                <c:pt idx="14">
                  <c:v>1396.1713742184611</c:v>
                </c:pt>
                <c:pt idx="15">
                  <c:v>1403.9223577966516</c:v>
                </c:pt>
                <c:pt idx="16">
                  <c:v>1412.0843371289322</c:v>
                </c:pt>
                <c:pt idx="17">
                  <c:v>1420.9269198340637</c:v>
                </c:pt>
                <c:pt idx="18">
                  <c:v>1429.6939059656322</c:v>
                </c:pt>
                <c:pt idx="19">
                  <c:v>1439.1176985175302</c:v>
                </c:pt>
                <c:pt idx="20">
                  <c:v>1448.5418992442292</c:v>
                </c:pt>
                <c:pt idx="21">
                  <c:v>1459.5685836549499</c:v>
                </c:pt>
                <c:pt idx="22">
                  <c:v>1471.2154449844763</c:v>
                </c:pt>
                <c:pt idx="23">
                  <c:v>1483.4367355720949</c:v>
                </c:pt>
                <c:pt idx="24">
                  <c:v>1497.2520829458686</c:v>
                </c:pt>
                <c:pt idx="25">
                  <c:v>1510.4261203686244</c:v>
                </c:pt>
                <c:pt idx="26">
                  <c:v>1524.4750425418231</c:v>
                </c:pt>
                <c:pt idx="27">
                  <c:v>1540.0010882532663</c:v>
                </c:pt>
                <c:pt idx="28">
                  <c:v>1554.7389266505122</c:v>
                </c:pt>
                <c:pt idx="29">
                  <c:v>1569.5751876210604</c:v>
                </c:pt>
                <c:pt idx="30">
                  <c:v>1584.7508986647715</c:v>
                </c:pt>
                <c:pt idx="31">
                  <c:v>1600.5032658783659</c:v>
                </c:pt>
                <c:pt idx="32">
                  <c:v>1615.6495611764715</c:v>
                </c:pt>
                <c:pt idx="33">
                  <c:v>1631.2257268779565</c:v>
                </c:pt>
                <c:pt idx="34">
                  <c:v>1647.4144068093724</c:v>
                </c:pt>
                <c:pt idx="35">
                  <c:v>1664.2215573161466</c:v>
                </c:pt>
                <c:pt idx="36">
                  <c:v>1681.0760419841331</c:v>
                </c:pt>
                <c:pt idx="37">
                  <c:v>1684.8582086981087</c:v>
                </c:pt>
                <c:pt idx="38">
                  <c:v>1687.1182267856855</c:v>
                </c:pt>
                <c:pt idx="39">
                  <c:v>1689.4572526308339</c:v>
                </c:pt>
                <c:pt idx="40">
                  <c:v>1691.1680269605888</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15982.545292411505</c:v>
                </c:pt>
                <c:pt idx="12">
                  <c:v>15440.121907106282</c:v>
                </c:pt>
                <c:pt idx="13">
                  <c:v>14860.420240425958</c:v>
                </c:pt>
                <c:pt idx="14">
                  <c:v>14304.336070593596</c:v>
                </c:pt>
                <c:pt idx="15">
                  <c:v>13770.169985699875</c:v>
                </c:pt>
                <c:pt idx="16">
                  <c:v>13256.295502003479</c:v>
                </c:pt>
                <c:pt idx="17">
                  <c:v>12761.075530210079</c:v>
                </c:pt>
                <c:pt idx="18">
                  <c:v>12283.028562301317</c:v>
                </c:pt>
                <c:pt idx="19">
                  <c:v>11820.734792124991</c:v>
                </c:pt>
                <c:pt idx="20">
                  <c:v>11372.832716117027</c:v>
                </c:pt>
                <c:pt idx="21">
                  <c:v>10938.015874931243</c:v>
                </c:pt>
                <c:pt idx="22">
                  <c:v>10512.401699469703</c:v>
                </c:pt>
                <c:pt idx="23">
                  <c:v>10095.492990191913</c:v>
                </c:pt>
                <c:pt idx="24">
                  <c:v>9699.1602725925241</c:v>
                </c:pt>
                <c:pt idx="25">
                  <c:v>9322.4003422276965</c:v>
                </c:pt>
                <c:pt idx="26">
                  <c:v>8964.2588793527611</c:v>
                </c:pt>
                <c:pt idx="27">
                  <c:v>8623.7876449373271</c:v>
                </c:pt>
                <c:pt idx="28">
                  <c:v>8300.1254720137076</c:v>
                </c:pt>
                <c:pt idx="29">
                  <c:v>7992.4531378525389</c:v>
                </c:pt>
                <c:pt idx="30">
                  <c:v>7699.9913228316873</c:v>
                </c:pt>
                <c:pt idx="31">
                  <c:v>7421.9986685750537</c:v>
                </c:pt>
                <c:pt idx="32">
                  <c:v>7157.7333708271699</c:v>
                </c:pt>
                <c:pt idx="33">
                  <c:v>6906.5266548716372</c:v>
                </c:pt>
                <c:pt idx="34">
                  <c:v>6667.7423081871002</c:v>
                </c:pt>
                <c:pt idx="35">
                  <c:v>6440.7750963206854</c:v>
                </c:pt>
                <c:pt idx="36">
                  <c:v>6233.7164522342264</c:v>
                </c:pt>
                <c:pt idx="37">
                  <c:v>6050.3943933179316</c:v>
                </c:pt>
                <c:pt idx="38">
                  <c:v>5889.6461958303862</c:v>
                </c:pt>
                <c:pt idx="39">
                  <c:v>5750.3804947589115</c:v>
                </c:pt>
                <c:pt idx="40">
                  <c:v>5631.5720793337459</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1051.6756714552828</c:v>
                </c:pt>
                <c:pt idx="11">
                  <c:v>1275.3299251108208</c:v>
                </c:pt>
                <c:pt idx="12">
                  <c:v>1383.2078778815937</c:v>
                </c:pt>
                <c:pt idx="13">
                  <c:v>1389.3368647742509</c:v>
                </c:pt>
                <c:pt idx="14">
                  <c:v>1396.1713742184611</c:v>
                </c:pt>
                <c:pt idx="15">
                  <c:v>1403.9223577966516</c:v>
                </c:pt>
                <c:pt idx="16">
                  <c:v>1412.0843371289322</c:v>
                </c:pt>
                <c:pt idx="17">
                  <c:v>1420.9269198340637</c:v>
                </c:pt>
                <c:pt idx="18">
                  <c:v>1429.6939059656322</c:v>
                </c:pt>
                <c:pt idx="19">
                  <c:v>1439.1176985175302</c:v>
                </c:pt>
                <c:pt idx="20">
                  <c:v>1448.5418992442292</c:v>
                </c:pt>
                <c:pt idx="21">
                  <c:v>1459.5685836549499</c:v>
                </c:pt>
                <c:pt idx="22">
                  <c:v>1471.2154449844763</c:v>
                </c:pt>
                <c:pt idx="23">
                  <c:v>1483.4367355720949</c:v>
                </c:pt>
                <c:pt idx="24">
                  <c:v>1497.2520829458686</c:v>
                </c:pt>
                <c:pt idx="25">
                  <c:v>1510.4261203686244</c:v>
                </c:pt>
                <c:pt idx="26">
                  <c:v>1524.4750425418231</c:v>
                </c:pt>
                <c:pt idx="27">
                  <c:v>1540.0010882532663</c:v>
                </c:pt>
                <c:pt idx="28">
                  <c:v>1554.7389266505122</c:v>
                </c:pt>
                <c:pt idx="29">
                  <c:v>1569.5751876210604</c:v>
                </c:pt>
                <c:pt idx="30">
                  <c:v>1584.7508986647715</c:v>
                </c:pt>
                <c:pt idx="31">
                  <c:v>1600.5032658783659</c:v>
                </c:pt>
                <c:pt idx="32">
                  <c:v>1615.6495611764715</c:v>
                </c:pt>
                <c:pt idx="33">
                  <c:v>1631.2257268779565</c:v>
                </c:pt>
                <c:pt idx="34">
                  <c:v>1647.4144068093724</c:v>
                </c:pt>
                <c:pt idx="35">
                  <c:v>1664.2215573161466</c:v>
                </c:pt>
                <c:pt idx="36">
                  <c:v>1681.0760419841331</c:v>
                </c:pt>
                <c:pt idx="37">
                  <c:v>1684.8582086981087</c:v>
                </c:pt>
                <c:pt idx="38">
                  <c:v>1687.1182267856855</c:v>
                </c:pt>
                <c:pt idx="39">
                  <c:v>1689.4572526308339</c:v>
                </c:pt>
                <c:pt idx="40">
                  <c:v>1691.1680269605888</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15982.590002881327</c:v>
                </c:pt>
                <c:pt idx="12">
                  <c:v>15440.195681596713</c:v>
                </c:pt>
                <c:pt idx="13">
                  <c:v>14860.529759104096</c:v>
                </c:pt>
                <c:pt idx="14">
                  <c:v>14304.487813215472</c:v>
                </c:pt>
                <c:pt idx="15">
                  <c:v>13770.37024651486</c:v>
                </c:pt>
                <c:pt idx="16">
                  <c:v>13256.550403840205</c:v>
                </c:pt>
                <c:pt idx="17">
                  <c:v>12761.390913394656</c:v>
                </c:pt>
                <c:pt idx="18">
                  <c:v>12283.410098294094</c:v>
                </c:pt>
                <c:pt idx="19">
                  <c:v>11821.187995852166</c:v>
                </c:pt>
                <c:pt idx="20">
                  <c:v>11373.362957616693</c:v>
                </c:pt>
                <c:pt idx="21">
                  <c:v>10938.628390354213</c:v>
                </c:pt>
                <c:pt idx="22">
                  <c:v>10513.092663232292</c:v>
                </c:pt>
                <c:pt idx="23">
                  <c:v>10096.258807736416</c:v>
                </c:pt>
                <c:pt idx="24">
                  <c:v>9699.9975670036711</c:v>
                </c:pt>
                <c:pt idx="25">
                  <c:v>9323.3059416290635</c:v>
                </c:pt>
                <c:pt idx="26">
                  <c:v>8965.2298050377813</c:v>
                </c:pt>
                <c:pt idx="27">
                  <c:v>8624.8209569665196</c:v>
                </c:pt>
                <c:pt idx="28">
                  <c:v>8301.2184079845047</c:v>
                </c:pt>
                <c:pt idx="29">
                  <c:v>7993.6031026066712</c:v>
                </c:pt>
                <c:pt idx="30">
                  <c:v>7701.1958787623025</c:v>
                </c:pt>
                <c:pt idx="31">
                  <c:v>7423.2555264986477</c:v>
                </c:pt>
                <c:pt idx="32">
                  <c:v>7159.0402454402974</c:v>
                </c:pt>
                <c:pt idx="33">
                  <c:v>6907.8813986801433</c:v>
                </c:pt>
                <c:pt idx="34">
                  <c:v>6669.1429035100791</c:v>
                </c:pt>
                <c:pt idx="35">
                  <c:v>6442.2196477602583</c:v>
                </c:pt>
                <c:pt idx="36">
                  <c:v>6235.2031795840376</c:v>
                </c:pt>
                <c:pt idx="37">
                  <c:v>6051.9214851856541</c:v>
                </c:pt>
                <c:pt idx="38">
                  <c:v>5891.2119496022769</c:v>
                </c:pt>
                <c:pt idx="39">
                  <c:v>5751.983310281832</c:v>
                </c:pt>
                <c:pt idx="40">
                  <c:v>5633.2104529652133</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816.26125781571477</c:v>
                </c:pt>
                <c:pt idx="10">
                  <c:v>806.97421035921559</c:v>
                </c:pt>
                <c:pt idx="11">
                  <c:v>877.28760323328174</c:v>
                </c:pt>
                <c:pt idx="12">
                  <c:v>840.0513734222659</c:v>
                </c:pt>
                <c:pt idx="13">
                  <c:v>843.77363667654186</c:v>
                </c:pt>
                <c:pt idx="14">
                  <c:v>847.92437868508875</c:v>
                </c:pt>
                <c:pt idx="15">
                  <c:v>852.63171480162703</c:v>
                </c:pt>
                <c:pt idx="16">
                  <c:v>857.58865732455945</c:v>
                </c:pt>
                <c:pt idx="17">
                  <c:v>862.95894465795868</c:v>
                </c:pt>
                <c:pt idx="18">
                  <c:v>868.28332059476827</c:v>
                </c:pt>
                <c:pt idx="19">
                  <c:v>874.00658894991443</c:v>
                </c:pt>
                <c:pt idx="20">
                  <c:v>879.73010519824209</c:v>
                </c:pt>
                <c:pt idx="21">
                  <c:v>886.4268436506768</c:v>
                </c:pt>
                <c:pt idx="22">
                  <c:v>893.50022865113783</c:v>
                </c:pt>
                <c:pt idx="23">
                  <c:v>900.9224766785602</c:v>
                </c:pt>
                <c:pt idx="24">
                  <c:v>909.31282907694185</c:v>
                </c:pt>
                <c:pt idx="25">
                  <c:v>917.31370039026274</c:v>
                </c:pt>
                <c:pt idx="26">
                  <c:v>925.8459077001088</c:v>
                </c:pt>
                <c:pt idx="27">
                  <c:v>935.27520334848953</c:v>
                </c:pt>
                <c:pt idx="28">
                  <c:v>944.22580403899644</c:v>
                </c:pt>
                <c:pt idx="29">
                  <c:v>953.23617883808151</c:v>
                </c:pt>
                <c:pt idx="30">
                  <c:v>962.45270883967009</c:v>
                </c:pt>
                <c:pt idx="31">
                  <c:v>972.01945431880802</c:v>
                </c:pt>
                <c:pt idx="32">
                  <c:v>981.21811951649272</c:v>
                </c:pt>
                <c:pt idx="33">
                  <c:v>990.67785409393366</c:v>
                </c:pt>
                <c:pt idx="34">
                  <c:v>1000.509581506524</c:v>
                </c:pt>
                <c:pt idx="35">
                  <c:v>1010.7169191687079</c:v>
                </c:pt>
                <c:pt idx="36">
                  <c:v>1020.9530038672356</c:v>
                </c:pt>
                <c:pt idx="37">
                  <c:v>1023.2499936352905</c:v>
                </c:pt>
                <c:pt idx="38">
                  <c:v>1024.6225503773298</c:v>
                </c:pt>
                <c:pt idx="39">
                  <c:v>1026.0430902000903</c:v>
                </c:pt>
                <c:pt idx="40">
                  <c:v>1027.0820796016887</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4.4"/>
  <sheetData>
    <row r="1" spans="1:13" ht="15.6">
      <c r="A1" s="512"/>
      <c r="B1" s="512"/>
      <c r="C1" s="512"/>
      <c r="D1" s="512"/>
      <c r="E1" s="512"/>
      <c r="F1" s="512"/>
      <c r="G1" s="512"/>
      <c r="H1" s="512"/>
      <c r="I1" s="512"/>
      <c r="J1" s="512"/>
      <c r="K1" s="512"/>
      <c r="L1" s="512"/>
      <c r="M1" s="512"/>
    </row>
    <row r="2" spans="1:13" ht="15.6">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8">
      <c r="A4" s="514" t="s">
        <v>538</v>
      </c>
      <c r="B4" s="512"/>
      <c r="C4" s="512"/>
      <c r="D4" s="512"/>
      <c r="E4" s="512"/>
      <c r="F4" s="512"/>
      <c r="G4" s="512"/>
      <c r="H4" s="512"/>
      <c r="I4" s="512"/>
      <c r="J4" s="512"/>
      <c r="K4" s="512"/>
      <c r="L4" s="512"/>
      <c r="M4" s="512"/>
    </row>
    <row r="5" spans="1:13" ht="49.8">
      <c r="A5" s="514" t="s">
        <v>536</v>
      </c>
      <c r="B5" s="512"/>
      <c r="C5" s="512"/>
      <c r="D5" s="512"/>
      <c r="E5" s="512"/>
      <c r="F5" s="512"/>
      <c r="G5" s="512"/>
      <c r="H5" s="512"/>
      <c r="I5" s="512"/>
      <c r="J5" s="512"/>
      <c r="K5" s="512"/>
      <c r="L5" s="512"/>
      <c r="M5" s="512"/>
    </row>
    <row r="6" spans="1:13" ht="49.8">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399999999999999">
      <c r="A8" s="515"/>
      <c r="B8" s="512"/>
      <c r="C8" s="512"/>
      <c r="D8" s="512"/>
      <c r="E8" s="512"/>
      <c r="F8" s="512"/>
      <c r="G8" s="512"/>
      <c r="H8" s="512"/>
      <c r="I8" s="512"/>
      <c r="J8" s="512"/>
      <c r="K8" s="512"/>
      <c r="L8" s="512"/>
      <c r="M8" s="512"/>
    </row>
    <row r="9" spans="1:13" ht="18">
      <c r="A9" s="516" t="s">
        <v>811</v>
      </c>
      <c r="B9" s="512"/>
      <c r="C9" s="512"/>
      <c r="D9" s="512"/>
      <c r="E9" s="512"/>
      <c r="F9" s="512"/>
      <c r="G9" s="512"/>
      <c r="H9" s="512"/>
      <c r="I9" s="512"/>
      <c r="J9" s="512"/>
      <c r="K9" s="512"/>
      <c r="L9" s="512"/>
      <c r="M9" s="512"/>
    </row>
    <row r="10" spans="1:13" ht="15.6">
      <c r="A10" s="512"/>
      <c r="B10" s="512"/>
      <c r="C10" s="512"/>
      <c r="D10" s="512"/>
      <c r="E10" s="512"/>
      <c r="F10" s="512"/>
      <c r="G10" s="512"/>
      <c r="H10" s="512"/>
      <c r="I10" s="512"/>
      <c r="J10" s="512"/>
      <c r="K10" s="512"/>
      <c r="L10" s="512"/>
      <c r="M10" s="512"/>
    </row>
    <row r="11" spans="1:13" ht="20.399999999999999">
      <c r="A11" s="515" t="s">
        <v>540</v>
      </c>
      <c r="B11" s="512"/>
      <c r="C11" s="512"/>
      <c r="D11" s="512"/>
      <c r="E11" s="512"/>
      <c r="F11" s="512"/>
      <c r="G11" s="512"/>
      <c r="H11" s="512"/>
      <c r="I11" s="512"/>
      <c r="J11" s="512"/>
      <c r="K11" s="512"/>
      <c r="L11" s="512"/>
      <c r="M11" s="512"/>
    </row>
    <row r="12" spans="1:13" ht="20.399999999999999">
      <c r="A12" s="515" t="s">
        <v>541</v>
      </c>
      <c r="B12" s="512"/>
      <c r="C12" s="512"/>
      <c r="D12" s="512"/>
      <c r="E12" s="512"/>
      <c r="F12" s="512"/>
      <c r="G12" s="512"/>
      <c r="H12" s="512"/>
      <c r="I12" s="512"/>
      <c r="J12" s="512"/>
      <c r="K12" s="512"/>
      <c r="L12" s="512"/>
      <c r="M12" s="512"/>
    </row>
    <row r="13" spans="1:13" ht="15.6">
      <c r="A13" s="512"/>
      <c r="B13" s="512"/>
      <c r="C13" s="512"/>
      <c r="D13" s="512"/>
      <c r="E13" s="512"/>
      <c r="F13" s="512"/>
      <c r="G13" s="512"/>
      <c r="H13" s="512"/>
      <c r="I13" s="512"/>
      <c r="J13" s="512"/>
      <c r="K13" s="512"/>
      <c r="L13" s="512"/>
      <c r="M13" s="512"/>
    </row>
    <row r="14" spans="1:13" ht="15.6">
      <c r="A14" s="512"/>
      <c r="B14" s="512"/>
      <c r="C14" s="512"/>
      <c r="D14" s="512"/>
      <c r="E14" s="512"/>
      <c r="F14" s="512"/>
      <c r="G14" s="512"/>
      <c r="H14" s="512"/>
      <c r="I14" s="512"/>
      <c r="J14" s="512"/>
      <c r="K14" s="512"/>
      <c r="L14" s="512"/>
      <c r="M14" s="512"/>
    </row>
    <row r="15" spans="1:13" ht="15.6">
      <c r="A15" s="512"/>
      <c r="B15" s="512"/>
      <c r="C15" s="512"/>
      <c r="D15" s="512"/>
      <c r="E15" s="512"/>
      <c r="F15" s="512"/>
      <c r="G15" s="512"/>
      <c r="H15" s="512"/>
      <c r="I15" s="512"/>
      <c r="J15" s="512"/>
      <c r="K15" s="512"/>
      <c r="L15" s="512"/>
      <c r="M15" s="512"/>
    </row>
    <row r="16" spans="1:13" ht="15.6">
      <c r="A16" s="512"/>
      <c r="B16" s="512"/>
      <c r="C16" s="512"/>
      <c r="D16" s="512"/>
      <c r="E16" s="512"/>
      <c r="F16" s="512"/>
      <c r="G16" s="512"/>
      <c r="H16" s="512"/>
      <c r="I16" s="512"/>
      <c r="J16" s="512"/>
      <c r="K16" s="512"/>
      <c r="L16" s="512"/>
      <c r="M16" s="512"/>
    </row>
    <row r="17" spans="1:13" ht="15.6">
      <c r="A17" s="512"/>
      <c r="B17" s="512"/>
      <c r="C17" s="512"/>
      <c r="D17" s="512"/>
      <c r="E17" s="512"/>
      <c r="F17" s="512"/>
      <c r="G17" s="512"/>
      <c r="H17" s="512"/>
      <c r="I17" s="512"/>
      <c r="J17" s="512"/>
      <c r="K17" s="512"/>
      <c r="L17" s="512"/>
      <c r="M17" s="512"/>
    </row>
    <row r="18" spans="1:13" ht="15.6">
      <c r="A18" s="512"/>
      <c r="B18" s="512"/>
      <c r="C18" s="512"/>
      <c r="D18" s="512"/>
      <c r="E18" s="512"/>
      <c r="F18" s="512"/>
      <c r="G18" s="512"/>
      <c r="H18" s="512"/>
      <c r="I18" s="512"/>
      <c r="J18" s="512"/>
      <c r="K18" s="512"/>
      <c r="L18" s="512"/>
      <c r="M18" s="512"/>
    </row>
    <row r="19" spans="1:13" ht="15.6">
      <c r="A19" s="512"/>
      <c r="B19" s="512"/>
      <c r="C19" s="512"/>
      <c r="D19" s="512"/>
      <c r="E19" s="512"/>
      <c r="F19" s="512"/>
      <c r="G19" s="512"/>
      <c r="H19" s="512"/>
      <c r="I19" s="512"/>
      <c r="J19" s="512"/>
      <c r="K19" s="512"/>
      <c r="L19" s="512"/>
      <c r="M19" s="512"/>
    </row>
    <row r="20" spans="1:13" ht="15.6">
      <c r="A20" s="512"/>
      <c r="B20" s="512"/>
      <c r="C20" s="512"/>
      <c r="D20" s="512"/>
      <c r="E20" s="512"/>
      <c r="F20" s="512"/>
      <c r="G20" s="512"/>
      <c r="H20" s="512"/>
      <c r="I20" s="512"/>
      <c r="J20" s="512"/>
      <c r="K20" s="512"/>
      <c r="L20" s="512"/>
      <c r="M20" s="512"/>
    </row>
    <row r="21" spans="1:13" ht="15.6">
      <c r="A21" s="512"/>
      <c r="B21" s="512"/>
      <c r="C21" s="512"/>
      <c r="D21" s="512"/>
      <c r="E21" s="512"/>
      <c r="F21" s="512"/>
      <c r="G21" s="512"/>
      <c r="H21" s="512"/>
      <c r="I21" s="512"/>
      <c r="J21" s="512"/>
      <c r="K21" s="512"/>
      <c r="L21" s="512"/>
      <c r="M21" s="512"/>
    </row>
    <row r="22" spans="1:13" ht="15.6">
      <c r="A22" s="512"/>
      <c r="B22" s="512"/>
      <c r="C22" s="512"/>
      <c r="D22" s="512"/>
      <c r="E22" s="512"/>
      <c r="F22" s="512"/>
      <c r="G22" s="512"/>
      <c r="H22" s="512"/>
      <c r="I22" s="512"/>
      <c r="J22" s="512"/>
      <c r="K22" s="512"/>
      <c r="L22" s="512"/>
      <c r="M22" s="512"/>
    </row>
    <row r="23" spans="1:13" ht="15.6">
      <c r="A23" s="307"/>
      <c r="B23" s="307"/>
      <c r="C23" s="307"/>
      <c r="D23" s="307"/>
      <c r="E23" s="307"/>
      <c r="F23" s="307"/>
      <c r="G23" s="307"/>
      <c r="H23" s="307"/>
      <c r="I23" s="307"/>
      <c r="J23" s="307"/>
      <c r="K23" s="307"/>
      <c r="L23" s="307"/>
      <c r="M23" s="307"/>
    </row>
    <row r="24" spans="1:13" ht="15.6">
      <c r="A24" s="307"/>
      <c r="B24" s="307"/>
      <c r="C24" s="307"/>
      <c r="D24" s="307"/>
      <c r="E24" s="307"/>
      <c r="F24" s="307"/>
      <c r="G24" s="307"/>
      <c r="H24" s="307"/>
      <c r="I24" s="307"/>
      <c r="J24" s="307"/>
      <c r="K24" s="307"/>
      <c r="L24" s="307"/>
      <c r="M24" s="307"/>
    </row>
    <row r="25" spans="1:13" ht="15.6">
      <c r="A25" s="307"/>
      <c r="B25" s="307"/>
      <c r="C25" s="307"/>
      <c r="D25" s="307"/>
      <c r="E25" s="307"/>
      <c r="F25" s="307"/>
      <c r="G25" s="307"/>
      <c r="H25" s="307"/>
      <c r="I25" s="307"/>
      <c r="J25" s="307"/>
      <c r="K25" s="307"/>
      <c r="L25" s="307"/>
      <c r="M25" s="307"/>
    </row>
    <row r="26" spans="1:13" ht="15.6">
      <c r="A26" s="307"/>
      <c r="B26" s="307"/>
      <c r="C26" s="307"/>
      <c r="D26" s="307"/>
      <c r="E26" s="307"/>
      <c r="F26" s="307"/>
      <c r="G26" s="307"/>
      <c r="H26" s="307"/>
      <c r="I26" s="307"/>
      <c r="J26" s="307"/>
      <c r="K26" s="307"/>
      <c r="L26" s="307"/>
      <c r="M26" s="307"/>
    </row>
    <row r="27" spans="1:13" ht="15.6">
      <c r="A27" s="307"/>
      <c r="B27" s="307"/>
      <c r="C27" s="307"/>
      <c r="D27" s="307"/>
      <c r="E27" s="307"/>
      <c r="F27" s="307"/>
      <c r="G27" s="307"/>
      <c r="H27" s="307"/>
      <c r="I27" s="307"/>
      <c r="J27" s="307"/>
      <c r="K27" s="307"/>
      <c r="L27" s="307"/>
      <c r="M27" s="307"/>
    </row>
    <row r="28" spans="1:13" ht="15.6">
      <c r="A28" s="307"/>
      <c r="B28" s="307"/>
      <c r="C28" s="307"/>
      <c r="D28" s="307"/>
      <c r="E28" s="307"/>
      <c r="F28" s="307"/>
      <c r="G28" s="307"/>
      <c r="H28" s="307"/>
      <c r="I28" s="307"/>
      <c r="J28" s="307"/>
      <c r="K28" s="307"/>
      <c r="L28" s="307"/>
      <c r="M28" s="307"/>
    </row>
    <row r="29" spans="1:13" ht="15.6">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6"/>
  <cols>
    <col min="1" max="1" width="9" bestFit="1" customWidth="1"/>
    <col min="2" max="2" width="25.6640625" customWidth="1"/>
    <col min="3" max="3" width="22" customWidth="1"/>
    <col min="4" max="4" width="25.33203125" customWidth="1"/>
    <col min="5" max="5" width="17.33203125" customWidth="1"/>
    <col min="6" max="6" width="15.5546875" style="157" customWidth="1"/>
    <col min="7" max="7" width="11.88671875" style="157" customWidth="1"/>
    <col min="8" max="8" width="13.88671875" style="157" customWidth="1"/>
    <col min="9" max="9" width="11.44140625" style="157" bestFit="1" customWidth="1"/>
    <col min="10" max="10" width="16.44140625" customWidth="1"/>
    <col min="11" max="11" width="10.109375" customWidth="1"/>
    <col min="12" max="12" width="25.33203125" customWidth="1"/>
    <col min="13" max="13" width="17.33203125" customWidth="1"/>
    <col min="14" max="14" width="15.5546875" style="157" customWidth="1"/>
    <col min="15" max="15" width="11.88671875" style="157" customWidth="1"/>
    <col min="16" max="16" width="13.88671875" style="157" customWidth="1"/>
    <col min="17" max="17" width="12.44140625" style="157" bestFit="1" customWidth="1"/>
    <col min="18" max="18" width="16.44140625" customWidth="1"/>
    <col min="19" max="19" width="10.109375" customWidth="1"/>
    <col min="20" max="20" width="17.5546875" customWidth="1"/>
    <col min="21" max="21" width="15.109375" customWidth="1"/>
    <col min="22" max="22" width="14.6640625" customWidth="1"/>
    <col min="23" max="23" width="15.88671875" customWidth="1"/>
    <col min="24" max="24" width="13.6640625" customWidth="1"/>
    <col min="25" max="25" width="14.109375" bestFit="1" customWidth="1"/>
    <col min="26" max="26" width="12.6640625" customWidth="1"/>
    <col min="27" max="27" width="24" customWidth="1"/>
    <col min="28" max="28" width="22.44140625" customWidth="1"/>
    <col min="29" max="29" width="17.88671875" customWidth="1"/>
    <col min="30" max="30" width="15.5546875" customWidth="1"/>
    <col min="31" max="31" width="14.6640625" customWidth="1"/>
    <col min="32" max="32" width="17.44140625" customWidth="1"/>
    <col min="33" max="33" width="15.5546875" customWidth="1"/>
    <col min="34" max="34" width="19.5546875" style="383" customWidth="1"/>
    <col min="35" max="35" width="12.6640625" style="383" customWidth="1"/>
    <col min="38" max="38" width="15.33203125" customWidth="1"/>
    <col min="39" max="39" width="16" customWidth="1"/>
    <col min="40" max="40" width="17.6640625" customWidth="1"/>
    <col min="41" max="41" width="16.6640625" customWidth="1"/>
    <col min="42" max="42" width="17.33203125" customWidth="1"/>
    <col min="43" max="43" width="14.5546875" customWidth="1"/>
    <col min="45" max="45" width="17.33203125" customWidth="1"/>
    <col min="46" max="46" width="16.44140625" customWidth="1"/>
    <col min="47" max="47" width="16.5546875" customWidth="1"/>
    <col min="48" max="48" width="11.88671875" customWidth="1"/>
    <col min="49" max="49" width="16.6640625" customWidth="1"/>
    <col min="50" max="50" width="12.88671875" customWidth="1"/>
    <col min="52" max="52" width="18.33203125" customWidth="1"/>
    <col min="53" max="53" width="20.88671875" customWidth="1"/>
    <col min="54" max="54" width="22.33203125" customWidth="1"/>
  </cols>
  <sheetData>
    <row r="2" spans="1:54" ht="18">
      <c r="A2" s="1058" t="s">
        <v>483</v>
      </c>
      <c r="B2" s="94"/>
    </row>
    <row r="3" spans="1:54" ht="31.95" customHeight="1" thickBot="1">
      <c r="B3" s="1486"/>
      <c r="C3" s="1486"/>
      <c r="E3" s="146"/>
      <c r="J3" s="146"/>
      <c r="K3" s="146"/>
      <c r="M3" s="146"/>
      <c r="R3" s="146"/>
      <c r="S3" s="146"/>
      <c r="T3" s="146"/>
      <c r="U3" s="146"/>
      <c r="V3" s="146"/>
      <c r="W3" s="146"/>
      <c r="X3" s="146"/>
      <c r="AL3" s="490" t="s">
        <v>522</v>
      </c>
    </row>
    <row r="4" spans="1:54" ht="50.4"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5"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2"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2.5546875" customWidth="1"/>
    <col min="8" max="8" width="19.6640625" customWidth="1"/>
    <col min="9" max="9" width="30.33203125" customWidth="1"/>
    <col min="10" max="10" width="25.33203125" customWidth="1"/>
    <col min="11" max="12" width="24.6640625" customWidth="1"/>
    <col min="13" max="13" width="21.44140625" customWidth="1"/>
    <col min="14" max="14" width="25.88671875" customWidth="1"/>
    <col min="15" max="15" width="26.109375" customWidth="1"/>
    <col min="16" max="16" width="20.44140625" customWidth="1"/>
    <col min="17" max="17" width="20.6640625" customWidth="1"/>
    <col min="18" max="18" width="19.33203125" customWidth="1"/>
    <col min="19" max="19" width="23.109375" customWidth="1"/>
    <col min="20" max="20" width="17.6640625" customWidth="1"/>
    <col min="21" max="21" width="21.44140625" customWidth="1"/>
    <col min="22" max="22" width="20" customWidth="1"/>
    <col min="23" max="23" width="22.6640625" customWidth="1"/>
    <col min="24" max="24" width="24" customWidth="1"/>
    <col min="25" max="25" width="21.88671875" customWidth="1"/>
    <col min="26" max="26" width="17.33203125" customWidth="1"/>
    <col min="27" max="28" width="21.44140625" customWidth="1"/>
    <col min="29" max="29" width="21.109375" customWidth="1"/>
    <col min="30" max="30" width="22.88671875" customWidth="1"/>
    <col min="31" max="31" width="24.44140625" customWidth="1"/>
    <col min="32" max="32" width="29.44140625" customWidth="1"/>
    <col min="33" max="34" width="22.6640625" customWidth="1"/>
    <col min="35" max="37" width="29.109375" customWidth="1"/>
    <col min="38" max="38" width="17.664062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25.8867187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4.88671875" customWidth="1"/>
    <col min="63" max="63" width="14.33203125" customWidth="1"/>
    <col min="64" max="64" width="13.109375" customWidth="1"/>
    <col min="65" max="65" width="11.6640625" customWidth="1"/>
    <col min="66" max="66" width="9.33203125" customWidth="1"/>
    <col min="67" max="67" width="12" customWidth="1"/>
    <col min="68" max="68" width="15.33203125" customWidth="1"/>
    <col min="72" max="72" width="15.109375" customWidth="1"/>
    <col min="73" max="73" width="17.33203125" customWidth="1"/>
    <col min="74" max="74" width="16.6640625" customWidth="1"/>
    <col min="75" max="75" width="12.88671875" customWidth="1"/>
    <col min="76" max="76" width="16.88671875" customWidth="1"/>
    <col min="77" max="77" width="17.33203125" customWidth="1"/>
    <col min="78" max="78" width="12.88671875" customWidth="1"/>
    <col min="79" max="79" width="12.5546875" customWidth="1"/>
    <col min="80" max="83" width="15" customWidth="1"/>
    <col min="85" max="85" width="16.5546875" customWidth="1"/>
    <col min="86" max="86" width="17.33203125" customWidth="1"/>
    <col min="87" max="87" width="11.6640625" customWidth="1"/>
    <col min="88" max="88" width="13" customWidth="1"/>
    <col min="89" max="89" width="13.109375" customWidth="1"/>
    <col min="90" max="90" width="10.5546875" customWidth="1"/>
    <col min="91" max="91" width="12.332031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v>2030</v>
      </c>
      <c r="E4" s="521">
        <f>C4</f>
        <v>0.5</v>
      </c>
      <c r="F4" s="102">
        <f>2017+5</f>
        <v>2022</v>
      </c>
      <c r="G4" s="521">
        <f>E4</f>
        <v>0.5</v>
      </c>
      <c r="H4" s="102">
        <f>F4</f>
        <v>2022</v>
      </c>
    </row>
    <row r="5" spans="1:11">
      <c r="A5" s="1548"/>
      <c r="B5" s="1574"/>
      <c r="C5" s="517">
        <v>0.65</v>
      </c>
      <c r="D5" s="114">
        <v>2040</v>
      </c>
      <c r="E5" s="517">
        <f t="shared" ref="E5:E6" si="0">C5</f>
        <v>0.65</v>
      </c>
      <c r="F5" s="114">
        <f>2017+10</f>
        <v>2027</v>
      </c>
      <c r="G5" s="517">
        <f t="shared" ref="G5:G6" si="1">E5</f>
        <v>0.65</v>
      </c>
      <c r="H5" s="114">
        <f t="shared" ref="H5:H6" si="2">F5</f>
        <v>2027</v>
      </c>
    </row>
    <row r="6" spans="1:11" ht="15" thickBot="1">
      <c r="A6" s="1549"/>
      <c r="B6" s="1575"/>
      <c r="C6" s="519">
        <v>0.8</v>
      </c>
      <c r="D6" s="123">
        <v>2050</v>
      </c>
      <c r="E6" s="519">
        <f t="shared" si="0"/>
        <v>0.8</v>
      </c>
      <c r="F6" s="123">
        <f>15+2017</f>
        <v>2032</v>
      </c>
      <c r="G6" s="519">
        <f t="shared" si="1"/>
        <v>0.8</v>
      </c>
      <c r="H6" s="123">
        <f t="shared" si="2"/>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6">
      <c r="A56" s="297" t="s">
        <v>550</v>
      </c>
      <c r="B56" s="351"/>
      <c r="C56" s="351"/>
      <c r="D56" s="351"/>
      <c r="E56" s="351"/>
      <c r="F56" s="351"/>
      <c r="G56" s="351"/>
      <c r="H56" s="351"/>
      <c r="I56" s="1130"/>
      <c r="J56" s="3"/>
      <c r="K56" s="3"/>
      <c r="L56" s="3"/>
      <c r="M56" s="3"/>
      <c r="N56" s="3"/>
      <c r="O56" s="3"/>
      <c r="P56" s="3"/>
      <c r="W56" s="277"/>
      <c r="Y56" s="266"/>
      <c r="Z56" s="266"/>
      <c r="AA56" s="266"/>
    </row>
    <row r="57" spans="1:44" ht="15" thickBot="1">
      <c r="A57" s="297"/>
      <c r="B57" s="351" t="s">
        <v>593</v>
      </c>
      <c r="C57" s="351">
        <v>56521948</v>
      </c>
      <c r="D57" s="1131"/>
      <c r="E57" s="1131"/>
      <c r="F57" s="1131"/>
      <c r="G57" s="1131"/>
      <c r="H57" s="1131"/>
      <c r="I57" s="1131"/>
      <c r="J57" s="3"/>
      <c r="K57" s="3"/>
      <c r="L57" s="3"/>
      <c r="M57" s="3"/>
      <c r="N57" s="3"/>
    </row>
    <row r="58" spans="1:44"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6">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52"/>
      <c r="BK75" s="1552"/>
      <c r="BL75" s="1552"/>
      <c r="BM75" s="1552"/>
      <c r="BN75" s="1552"/>
      <c r="BO75" s="1552"/>
      <c r="BP75" s="1552"/>
      <c r="BQ75" s="1552"/>
    </row>
    <row r="76" spans="1:69"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2"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6">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8">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4">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BE93" s="383"/>
      <c r="BF93" s="383"/>
      <c r="BG93" s="383"/>
      <c r="BH93" s="383"/>
      <c r="BI93" s="383"/>
      <c r="BJ93" s="383"/>
      <c r="BK93" s="383"/>
      <c r="BL93" s="383"/>
      <c r="CG93" s="1" t="s">
        <v>551</v>
      </c>
    </row>
    <row r="94" spans="1:91" ht="34.950000000000003" customHeight="1" thickBot="1">
      <c r="A94" s="1521" t="s">
        <v>602</v>
      </c>
      <c r="B94" s="1522"/>
      <c r="C94" s="1522"/>
      <c r="D94" s="1523"/>
      <c r="E94" s="1555" t="s">
        <v>600</v>
      </c>
      <c r="F94" s="1556"/>
      <c r="G94" s="1557"/>
      <c r="H94" s="1558" t="s">
        <v>601</v>
      </c>
      <c r="I94" s="1559"/>
      <c r="J94" s="1559"/>
      <c r="K94" s="1560"/>
      <c r="L94" s="1561" t="s">
        <v>598</v>
      </c>
      <c r="M94" s="1541"/>
      <c r="N94" s="1541"/>
      <c r="O94" s="1541"/>
      <c r="P94" s="1542"/>
      <c r="Q94" s="1540" t="s">
        <v>775</v>
      </c>
      <c r="R94" s="1541"/>
      <c r="S94" s="1541"/>
      <c r="T94" s="1541"/>
      <c r="U94" s="1542"/>
      <c r="V94" s="1496" t="s">
        <v>756</v>
      </c>
      <c r="W94" s="1478" t="s">
        <v>608</v>
      </c>
      <c r="X94" s="1562"/>
      <c r="Y94" s="1563" t="s">
        <v>594</v>
      </c>
      <c r="Z94" s="1543" t="s">
        <v>763</v>
      </c>
      <c r="AA94" s="1543"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635</v>
      </c>
      <c r="BW94" s="1491"/>
      <c r="BX94" s="1510"/>
      <c r="BY94" s="1490" t="s">
        <v>638</v>
      </c>
      <c r="BZ94" s="1491"/>
      <c r="CA94" s="1492"/>
      <c r="CB94" s="1509" t="s">
        <v>636</v>
      </c>
      <c r="CC94" s="1508"/>
      <c r="CD94" s="1507" t="s">
        <v>639</v>
      </c>
      <c r="CE94" s="1508"/>
      <c r="CG94" s="1499" t="s">
        <v>735</v>
      </c>
      <c r="CH94" s="1500"/>
      <c r="CI94" s="1500"/>
      <c r="CJ94" s="1500"/>
      <c r="CK94" s="1500"/>
      <c r="CL94" s="1500"/>
      <c r="CM94" s="1501"/>
    </row>
    <row r="95" spans="1:91" ht="42.6" customHeight="1" thickBot="1">
      <c r="A95" s="1519"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39"/>
      <c r="W95" s="1302" t="s">
        <v>605</v>
      </c>
      <c r="X95" s="1340" t="s">
        <v>576</v>
      </c>
      <c r="Y95" s="1564"/>
      <c r="Z95" s="1544"/>
      <c r="AA95" s="1544"/>
      <c r="AB95" s="1537"/>
      <c r="AC95" s="1546"/>
      <c r="AD95" s="1537"/>
      <c r="AE95" s="1537"/>
      <c r="AF95" s="1593"/>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02" t="s">
        <v>736</v>
      </c>
    </row>
    <row r="96" spans="1:91" ht="16.2" thickBot="1">
      <c r="A96" s="1554"/>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38"/>
      <c r="AC96" s="1546"/>
      <c r="AD96" s="1538"/>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03"/>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4436.7667702664276</v>
      </c>
      <c r="D99" s="205">
        <f>'Input data'!D119</f>
        <v>53169997.747000799</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111.91947767812519</v>
      </c>
      <c r="BW99" s="100">
        <f t="shared" si="65"/>
        <v>0.36084474766685959</v>
      </c>
      <c r="BX99" s="1385">
        <f t="shared" si="25"/>
        <v>53.169997747000799</v>
      </c>
      <c r="BY99" s="473">
        <f t="shared" si="66"/>
        <v>111.91947767812519</v>
      </c>
      <c r="BZ99" s="100">
        <f t="shared" si="67"/>
        <v>0.36084474766685959</v>
      </c>
      <c r="CA99" s="489">
        <f t="shared" si="26"/>
        <v>53.169997747000799</v>
      </c>
      <c r="CB99" s="579">
        <f t="shared" si="27"/>
        <v>4.7766344222348933E-2</v>
      </c>
      <c r="CC99" s="471">
        <f t="shared" si="68"/>
        <v>0.17089535183273918</v>
      </c>
      <c r="CD99" s="100">
        <f t="shared" si="28"/>
        <v>4.7766344222348933E-2</v>
      </c>
      <c r="CE99" s="471">
        <f t="shared" si="69"/>
        <v>0.17089535183273918</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59.308690000000006</v>
      </c>
      <c r="C100" s="204">
        <f>'Input data'!C120</f>
        <v>4197.6296598339768</v>
      </c>
      <c r="D100" s="205">
        <f>'Input data'!D120</f>
        <v>50963260.465782054</v>
      </c>
      <c r="E100" s="579">
        <f t="shared" si="29"/>
        <v>0.74072727272727268</v>
      </c>
      <c r="F100" s="100">
        <f t="shared" si="30"/>
        <v>0.29665909090909087</v>
      </c>
      <c r="G100" s="474">
        <f>B100*F100*'Input data'!$C$9</f>
        <v>538.51529150686906</v>
      </c>
      <c r="H100" s="473">
        <f>'Input data'!I120</f>
        <v>424.26313389388866</v>
      </c>
      <c r="I100" s="474">
        <f>'Input data'!K120</f>
        <v>25162.490686541139</v>
      </c>
      <c r="J100" s="474">
        <f t="shared" si="77"/>
        <v>9496.7251661098635</v>
      </c>
      <c r="K100" s="475">
        <f t="shared" si="78"/>
        <v>2196.7484563286725</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10783.427981347915</v>
      </c>
      <c r="AA100" s="475">
        <f t="shared" si="81"/>
        <v>1286.7028152380517</v>
      </c>
      <c r="AB100" s="938">
        <f t="shared" si="42"/>
        <v>0.11932224311820511</v>
      </c>
      <c r="AC100" s="118" t="str">
        <f t="shared" si="43"/>
        <v>Yes</v>
      </c>
      <c r="AD100" s="938">
        <f t="shared" si="44"/>
        <v>0.11932224311820511</v>
      </c>
      <c r="AE100" s="579">
        <f t="shared" si="11"/>
        <v>7.0040644951311681E-2</v>
      </c>
      <c r="AF100" s="475">
        <f t="shared" si="45"/>
        <v>394.54747036689599</v>
      </c>
      <c r="AG100" s="473">
        <f t="shared" si="46"/>
        <v>9496.7251661098635</v>
      </c>
      <c r="AH100" s="474">
        <f t="shared" si="82"/>
        <v>6897.4051340163305</v>
      </c>
      <c r="AI100" s="474">
        <f t="shared" si="83"/>
        <v>4314.2206364031299</v>
      </c>
      <c r="AJ100" s="474">
        <f t="shared" si="12"/>
        <v>2691.7426737450974</v>
      </c>
      <c r="AK100" s="474">
        <f t="shared" si="47"/>
        <v>23400.093610274424</v>
      </c>
      <c r="AL100" s="640">
        <f t="shared" si="13"/>
        <v>0</v>
      </c>
      <c r="AM100" s="579">
        <f t="shared" si="48"/>
        <v>0.40584133227313579</v>
      </c>
      <c r="AN100" s="100">
        <f t="shared" si="49"/>
        <v>0.29475972399477257</v>
      </c>
      <c r="AO100" s="100">
        <f t="shared" si="50"/>
        <v>0.1843676657134764</v>
      </c>
      <c r="AP100" s="100">
        <f t="shared" si="51"/>
        <v>0.11503127801861517</v>
      </c>
      <c r="AQ100" s="471">
        <f t="shared" si="52"/>
        <v>0.99999999999999989</v>
      </c>
      <c r="AR100" s="473">
        <f t="shared" si="14"/>
        <v>2118.3634654455441</v>
      </c>
      <c r="AS100" s="474">
        <f t="shared" si="15"/>
        <v>2686.6579690644407</v>
      </c>
      <c r="AT100" s="474">
        <f t="shared" si="16"/>
        <v>607.57462659465943</v>
      </c>
      <c r="AU100" s="474">
        <f t="shared" si="17"/>
        <v>0</v>
      </c>
      <c r="AV100" s="474">
        <f t="shared" si="18"/>
        <v>0</v>
      </c>
      <c r="AW100" s="474">
        <f t="shared" si="19"/>
        <v>0</v>
      </c>
      <c r="AX100" s="474">
        <f t="shared" si="20"/>
        <v>2586.042877777486</v>
      </c>
      <c r="AY100" s="474">
        <f t="shared" si="21"/>
        <v>373.88283841736489</v>
      </c>
      <c r="AZ100" s="474">
        <f t="shared" si="22"/>
        <v>543.43677566904421</v>
      </c>
      <c r="BA100" s="474">
        <f t="shared" si="23"/>
        <v>477.72406530926179</v>
      </c>
      <c r="BB100" s="474">
        <f t="shared" si="24"/>
        <v>103.04254783206041</v>
      </c>
      <c r="BC100" s="475">
        <f t="shared" si="53"/>
        <v>9496.7251661098617</v>
      </c>
      <c r="BD100" s="647">
        <f t="shared" si="54"/>
        <v>0</v>
      </c>
      <c r="BE100" s="383">
        <f t="shared" si="55"/>
        <v>0.22306252191072812</v>
      </c>
      <c r="BF100" s="383">
        <f t="shared" si="56"/>
        <v>0.28290362436222583</v>
      </c>
      <c r="BG100" s="383">
        <f t="shared" si="57"/>
        <v>6.3977278058215084E-2</v>
      </c>
      <c r="BH100" s="383">
        <f t="shared" si="58"/>
        <v>0</v>
      </c>
      <c r="BI100" s="383">
        <f t="shared" si="59"/>
        <v>0</v>
      </c>
      <c r="BJ100" s="383">
        <f t="shared" si="60"/>
        <v>0</v>
      </c>
      <c r="BK100" s="383">
        <f t="shared" si="61"/>
        <v>0.43005657566883099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107.58918809338572</v>
      </c>
      <c r="BW100" s="100">
        <f t="shared" si="65"/>
        <v>0.36964202296637522</v>
      </c>
      <c r="BX100" s="1385">
        <f t="shared" si="25"/>
        <v>50.963260465782056</v>
      </c>
      <c r="BY100" s="473">
        <f t="shared" si="66"/>
        <v>107.58918809338572</v>
      </c>
      <c r="BZ100" s="100">
        <f t="shared" si="67"/>
        <v>0.36964202296637522</v>
      </c>
      <c r="CA100" s="489">
        <f t="shared" si="26"/>
        <v>50.963260465782056</v>
      </c>
      <c r="CB100" s="579">
        <f t="shared" si="27"/>
        <v>7.0040644951311681E-2</v>
      </c>
      <c r="CC100" s="471">
        <f t="shared" si="68"/>
        <v>0.17026577692957634</v>
      </c>
      <c r="CD100" s="100">
        <f t="shared" si="28"/>
        <v>7.0040644951311681E-2</v>
      </c>
      <c r="CE100" s="471">
        <f t="shared" si="69"/>
        <v>0.17026577692957634</v>
      </c>
      <c r="CG100" s="473">
        <f t="shared" si="70"/>
        <v>1302.2168434495784</v>
      </c>
      <c r="CH100" s="474">
        <f t="shared" si="71"/>
        <v>504.05822055960681</v>
      </c>
      <c r="CI100" s="474">
        <f t="shared" si="72"/>
        <v>2085.1701887882891</v>
      </c>
      <c r="CJ100" s="474">
        <f t="shared" si="73"/>
        <v>2965.801546439412</v>
      </c>
      <c r="CK100" s="474">
        <f t="shared" si="74"/>
        <v>40.158334779443209</v>
      </c>
      <c r="CL100" s="474">
        <f t="shared" si="75"/>
        <v>6897.4051340163296</v>
      </c>
      <c r="CM100" s="576">
        <f t="shared" si="76"/>
        <v>0</v>
      </c>
    </row>
    <row r="101" spans="1:91">
      <c r="A101" s="89">
        <f>'Input data'!A121</f>
        <v>2021</v>
      </c>
      <c r="B101" s="152">
        <f>'Input data'!B121</f>
        <v>59.991580449204264</v>
      </c>
      <c r="C101" s="204">
        <f>'Input data'!C121</f>
        <v>4326.0661578199733</v>
      </c>
      <c r="D101" s="205">
        <f>'Input data'!D121</f>
        <v>50546075.397081107</v>
      </c>
      <c r="E101" s="579">
        <f t="shared" si="29"/>
        <v>0.74936969696969691</v>
      </c>
      <c r="F101" s="100">
        <f t="shared" si="30"/>
        <v>0.29901212121212117</v>
      </c>
      <c r="G101" s="474">
        <f>B101*F101*'Input data'!$C$9</f>
        <v>549.0364074270924</v>
      </c>
      <c r="H101" s="473">
        <f>'Input data'!I121</f>
        <v>424.26313389388866</v>
      </c>
      <c r="I101" s="474">
        <f>'Input data'!K121</f>
        <v>25452.215928626742</v>
      </c>
      <c r="J101" s="474">
        <f t="shared" si="77"/>
        <v>9003.6315898476932</v>
      </c>
      <c r="K101" s="475">
        <f t="shared" si="78"/>
        <v>2824.482697471236</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10614.720099198101</v>
      </c>
      <c r="AA101" s="475">
        <f t="shared" si="81"/>
        <v>1611.0885093504075</v>
      </c>
      <c r="AB101" s="938">
        <f t="shared" si="42"/>
        <v>0.15177870865121718</v>
      </c>
      <c r="AC101" s="118" t="str">
        <f t="shared" si="43"/>
        <v>Yes</v>
      </c>
      <c r="AD101" s="938">
        <f t="shared" si="44"/>
        <v>0.15177870865121718</v>
      </c>
      <c r="AE101" s="579">
        <f t="shared" si="11"/>
        <v>8.7685876347071812E-2</v>
      </c>
      <c r="AF101" s="475">
        <f t="shared" si="45"/>
        <v>387.06124919664796</v>
      </c>
      <c r="AG101" s="473">
        <f t="shared" si="46"/>
        <v>9003.6315898476932</v>
      </c>
      <c r="AH101" s="474">
        <f t="shared" si="82"/>
        <v>6976.8230420886903</v>
      </c>
      <c r="AI101" s="474">
        <f t="shared" si="83"/>
        <v>4617.5691834333375</v>
      </c>
      <c r="AJ101" s="474">
        <f t="shared" si="12"/>
        <v>2622.3922545804858</v>
      </c>
      <c r="AK101" s="474">
        <f t="shared" si="47"/>
        <v>23220.416069950206</v>
      </c>
      <c r="AL101" s="640">
        <f t="shared" si="13"/>
        <v>0</v>
      </c>
      <c r="AM101" s="579">
        <f t="shared" si="48"/>
        <v>0.38774635057032381</v>
      </c>
      <c r="AN101" s="100">
        <f t="shared" si="49"/>
        <v>0.30046072478078778</v>
      </c>
      <c r="AO101" s="100">
        <f t="shared" si="50"/>
        <v>0.19885815867911963</v>
      </c>
      <c r="AP101" s="100">
        <f t="shared" si="51"/>
        <v>0.11293476596976883</v>
      </c>
      <c r="AQ101" s="471">
        <f t="shared" si="52"/>
        <v>1</v>
      </c>
      <c r="AR101" s="473">
        <f t="shared" si="14"/>
        <v>1954.2666849985153</v>
      </c>
      <c r="AS101" s="474">
        <f t="shared" si="15"/>
        <v>2478.5388572702323</v>
      </c>
      <c r="AT101" s="474">
        <f t="shared" si="16"/>
        <v>591.92099244935036</v>
      </c>
      <c r="AU101" s="474">
        <f t="shared" si="17"/>
        <v>0</v>
      </c>
      <c r="AV101" s="474">
        <f t="shared" si="18"/>
        <v>0</v>
      </c>
      <c r="AW101" s="474">
        <f t="shared" si="19"/>
        <v>0</v>
      </c>
      <c r="AX101" s="474">
        <f t="shared" si="20"/>
        <v>2519.4157223287821</v>
      </c>
      <c r="AY101" s="474">
        <f t="shared" si="21"/>
        <v>364.2500708368654</v>
      </c>
      <c r="AZ101" s="474">
        <f t="shared" si="22"/>
        <v>529.43559771480932</v>
      </c>
      <c r="BA101" s="474">
        <f t="shared" si="23"/>
        <v>465.41591843572576</v>
      </c>
      <c r="BB101" s="474">
        <f t="shared" si="24"/>
        <v>100.38774581341113</v>
      </c>
      <c r="BC101" s="475">
        <f t="shared" si="53"/>
        <v>9003.6315898476896</v>
      </c>
      <c r="BD101" s="647">
        <f t="shared" si="54"/>
        <v>0</v>
      </c>
      <c r="BE101" s="383">
        <f t="shared" si="55"/>
        <v>0.21705315966083133</v>
      </c>
      <c r="BF101" s="383">
        <f t="shared" si="56"/>
        <v>0.27528212727684037</v>
      </c>
      <c r="BG101" s="383">
        <f t="shared" si="57"/>
        <v>6.5742471417509829E-2</v>
      </c>
      <c r="BH101" s="383">
        <f t="shared" si="58"/>
        <v>0</v>
      </c>
      <c r="BI101" s="383">
        <f t="shared" si="59"/>
        <v>0</v>
      </c>
      <c r="BJ101" s="383">
        <f t="shared" si="60"/>
        <v>0</v>
      </c>
      <c r="BK101" s="383">
        <f t="shared" si="61"/>
        <v>0.44192224164481869</v>
      </c>
      <c r="BL101" s="383">
        <f t="shared" si="62"/>
        <v>1.0000000000000002</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105.46875617666294</v>
      </c>
      <c r="BW101" s="100">
        <f t="shared" si="65"/>
        <v>0.3903565592902547</v>
      </c>
      <c r="BX101" s="1385">
        <f t="shared" si="25"/>
        <v>50.546075397081104</v>
      </c>
      <c r="BY101" s="473">
        <f t="shared" si="66"/>
        <v>105.46875617666294</v>
      </c>
      <c r="BZ101" s="100">
        <f t="shared" si="67"/>
        <v>0.3903565592902547</v>
      </c>
      <c r="CA101" s="489">
        <f t="shared" si="26"/>
        <v>50.546075397081104</v>
      </c>
      <c r="CB101" s="579">
        <f t="shared" si="27"/>
        <v>8.7685876347071812E-2</v>
      </c>
      <c r="CC101" s="471">
        <f t="shared" si="68"/>
        <v>0.19830592701672844</v>
      </c>
      <c r="CD101" s="100">
        <f t="shared" si="28"/>
        <v>8.7685876347071812E-2</v>
      </c>
      <c r="CE101" s="471">
        <f t="shared" si="69"/>
        <v>0.19830592701672844</v>
      </c>
      <c r="CG101" s="473">
        <f t="shared" si="70"/>
        <v>1317.2107919786154</v>
      </c>
      <c r="CH101" s="474">
        <f t="shared" si="71"/>
        <v>509.86203353647488</v>
      </c>
      <c r="CI101" s="474">
        <f t="shared" si="72"/>
        <v>2109.1791966906549</v>
      </c>
      <c r="CJ101" s="474">
        <f t="shared" si="73"/>
        <v>2999.950295135407</v>
      </c>
      <c r="CK101" s="474">
        <f t="shared" si="74"/>
        <v>40.620724747537743</v>
      </c>
      <c r="CL101" s="474">
        <f t="shared" si="75"/>
        <v>6976.8230420886903</v>
      </c>
      <c r="CM101" s="576">
        <f t="shared" si="76"/>
        <v>0</v>
      </c>
    </row>
    <row r="102" spans="1:91" s="1" customFormat="1">
      <c r="A102" s="89">
        <f>'Input data'!A122</f>
        <v>2022</v>
      </c>
      <c r="B102" s="152">
        <f>'Input data'!B122</f>
        <v>60.682333816399378</v>
      </c>
      <c r="C102" s="204">
        <f>'Input data'!C122</f>
        <v>4414.4786843532656</v>
      </c>
      <c r="D102" s="205">
        <f>'Input data'!D122</f>
        <v>50359792.84713313</v>
      </c>
      <c r="E102" s="579">
        <f t="shared" si="29"/>
        <v>0.75801212121212114</v>
      </c>
      <c r="F102" s="100">
        <f t="shared" si="30"/>
        <v>0.30136515151515147</v>
      </c>
      <c r="G102" s="474">
        <f>B102*F102*'Input data'!$C$9</f>
        <v>559.72841293499425</v>
      </c>
      <c r="H102" s="473">
        <f>'Input data'!I122</f>
        <v>424.26313389388866</v>
      </c>
      <c r="I102" s="474">
        <f>'Input data'!K122</f>
        <v>25745.277116940699</v>
      </c>
      <c r="J102" s="474">
        <f>$J$97*(1+(($J$110/$J$97)^(1/($A$110-$A$97))-1))^(A102-$A$97)</f>
        <v>8536.1406577284433</v>
      </c>
      <c r="K102" s="475">
        <f t="shared" si="78"/>
        <v>3428.1645702251008</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10447.562492802508</v>
      </c>
      <c r="AA102" s="475">
        <f t="shared" si="81"/>
        <v>1911.4218350740648</v>
      </c>
      <c r="AB102" s="938">
        <f t="shared" si="42"/>
        <v>0.18295385515912191</v>
      </c>
      <c r="AC102" s="118" t="str">
        <f t="shared" si="43"/>
        <v>Yes</v>
      </c>
      <c r="AD102" s="938">
        <f t="shared" si="44"/>
        <v>0.18295385515912191</v>
      </c>
      <c r="AE102" s="579">
        <f t="shared" si="11"/>
        <v>0.10394016738010314</v>
      </c>
      <c r="AF102" s="475">
        <f t="shared" si="45"/>
        <v>380.16515274375075</v>
      </c>
      <c r="AG102" s="473">
        <f t="shared" si="46"/>
        <v>8536.1406577284433</v>
      </c>
      <c r="AH102" s="474">
        <f t="shared" si="82"/>
        <v>7057.1553816030291</v>
      </c>
      <c r="AI102" s="474">
        <f t="shared" si="83"/>
        <v>4920.9177304635441</v>
      </c>
      <c r="AJ102" s="474">
        <f t="shared" si="12"/>
        <v>2555.094934363724</v>
      </c>
      <c r="AK102" s="474">
        <f t="shared" si="47"/>
        <v>23069.308704158742</v>
      </c>
      <c r="AL102" s="640">
        <f t="shared" si="13"/>
        <v>0</v>
      </c>
      <c r="AM102" s="579">
        <f t="shared" si="48"/>
        <v>0.37002151937867211</v>
      </c>
      <c r="AN102" s="100">
        <f t="shared" si="49"/>
        <v>0.30591100375412739</v>
      </c>
      <c r="AO102" s="100">
        <f t="shared" si="50"/>
        <v>0.21331015131703718</v>
      </c>
      <c r="AP102" s="100">
        <f t="shared" si="51"/>
        <v>0.11075732555016322</v>
      </c>
      <c r="AQ102" s="471">
        <f t="shared" si="52"/>
        <v>1</v>
      </c>
      <c r="AR102" s="473">
        <f t="shared" si="14"/>
        <v>1799.879546845305</v>
      </c>
      <c r="AS102" s="474">
        <f t="shared" si="15"/>
        <v>2282.7341987183368</v>
      </c>
      <c r="AT102" s="474">
        <f t="shared" si="16"/>
        <v>576.7307795808108</v>
      </c>
      <c r="AU102" s="474">
        <f t="shared" si="17"/>
        <v>0</v>
      </c>
      <c r="AV102" s="474">
        <f t="shared" si="18"/>
        <v>0</v>
      </c>
      <c r="AW102" s="474">
        <f t="shared" si="19"/>
        <v>0</v>
      </c>
      <c r="AX102" s="474">
        <f t="shared" si="20"/>
        <v>2454.7610443992867</v>
      </c>
      <c r="AY102" s="474">
        <f t="shared" si="21"/>
        <v>354.9024785332083</v>
      </c>
      <c r="AZ102" s="474">
        <f t="shared" si="22"/>
        <v>515.84892055339958</v>
      </c>
      <c r="BA102" s="474">
        <f t="shared" si="23"/>
        <v>453.47215066328846</v>
      </c>
      <c r="BB102" s="474">
        <f t="shared" si="24"/>
        <v>97.811538434807204</v>
      </c>
      <c r="BC102" s="475">
        <f t="shared" si="53"/>
        <v>8536.1406577284433</v>
      </c>
      <c r="BD102" s="647">
        <f t="shared" si="54"/>
        <v>0</v>
      </c>
      <c r="BE102" s="383">
        <f t="shared" si="55"/>
        <v>0.21085401693981362</v>
      </c>
      <c r="BF102" s="383">
        <f t="shared" si="56"/>
        <v>0.26741993721150753</v>
      </c>
      <c r="BG102" s="383">
        <f t="shared" si="57"/>
        <v>6.7563410996355919E-2</v>
      </c>
      <c r="BH102" s="383">
        <f t="shared" si="58"/>
        <v>0</v>
      </c>
      <c r="BI102" s="383">
        <f t="shared" si="59"/>
        <v>0</v>
      </c>
      <c r="BJ102" s="383">
        <f t="shared" si="60"/>
        <v>0</v>
      </c>
      <c r="BK102" s="383">
        <f t="shared" si="61"/>
        <v>0.45416263485232289</v>
      </c>
      <c r="BL102" s="383">
        <f t="shared" si="62"/>
        <v>0.99999999999999989</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103.38133365561069</v>
      </c>
      <c r="BW102" s="100">
        <f t="shared" si="65"/>
        <v>0.41034030178003567</v>
      </c>
      <c r="BX102" s="1385">
        <f t="shared" si="25"/>
        <v>50.359792847133129</v>
      </c>
      <c r="BY102" s="473">
        <f t="shared" si="66"/>
        <v>103.38133365561069</v>
      </c>
      <c r="BZ102" s="100">
        <f t="shared" si="67"/>
        <v>0.41034030178003567</v>
      </c>
      <c r="CA102" s="489">
        <f t="shared" si="26"/>
        <v>50.359792847133129</v>
      </c>
      <c r="CB102" s="579">
        <f t="shared" si="27"/>
        <v>0.10394016738010314</v>
      </c>
      <c r="CC102" s="471">
        <f t="shared" si="68"/>
        <v>0.22381783042111114</v>
      </c>
      <c r="CD102" s="100">
        <f t="shared" si="28"/>
        <v>0.10394016738010314</v>
      </c>
      <c r="CE102" s="471">
        <f t="shared" si="69"/>
        <v>0.22381783042111114</v>
      </c>
      <c r="CG102" s="473">
        <f t="shared" si="70"/>
        <v>1332.3773834078142</v>
      </c>
      <c r="CH102" s="474">
        <f t="shared" si="71"/>
        <v>515.73267261337799</v>
      </c>
      <c r="CI102" s="474">
        <f t="shared" si="72"/>
        <v>2133.4646484360969</v>
      </c>
      <c r="CJ102" s="474">
        <f t="shared" si="73"/>
        <v>3034.4922383925505</v>
      </c>
      <c r="CK102" s="474">
        <f t="shared" si="74"/>
        <v>41.088438753189351</v>
      </c>
      <c r="CL102" s="474">
        <f t="shared" si="75"/>
        <v>7057.1553816030291</v>
      </c>
      <c r="CM102" s="576">
        <f t="shared" si="76"/>
        <v>0</v>
      </c>
    </row>
    <row r="103" spans="1:91">
      <c r="A103" s="89">
        <f>'Input data'!A123</f>
        <v>2023</v>
      </c>
      <c r="B103" s="152">
        <f>'Input data'!B123</f>
        <v>61.381040636574369</v>
      </c>
      <c r="C103" s="204">
        <f>'Input data'!C123</f>
        <v>4492.6346436826334</v>
      </c>
      <c r="D103" s="205">
        <f>'Input data'!D123</f>
        <v>48665382.683029473</v>
      </c>
      <c r="E103" s="579">
        <f t="shared" si="29"/>
        <v>0.76665454545454537</v>
      </c>
      <c r="F103" s="100">
        <f t="shared" si="30"/>
        <v>0.30371818181818178</v>
      </c>
      <c r="G103" s="474">
        <f>B103*F103*'Input data'!$C$9</f>
        <v>570.59384848565696</v>
      </c>
      <c r="H103" s="473">
        <f>'Input data'!I123</f>
        <v>424.26313389388866</v>
      </c>
      <c r="I103" s="474">
        <f>'Input data'!K123</f>
        <v>26041.712662141173</v>
      </c>
      <c r="J103" s="474">
        <f t="shared" si="77"/>
        <v>8092.9230168287222</v>
      </c>
      <c r="K103" s="475">
        <f t="shared" si="78"/>
        <v>4009.1412776551088</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10281.973012302589</v>
      </c>
      <c r="AA103" s="475">
        <f t="shared" si="81"/>
        <v>2189.0499954738671</v>
      </c>
      <c r="AB103" s="938">
        <f t="shared" si="42"/>
        <v>0.21290174491360991</v>
      </c>
      <c r="AC103" s="118" t="str">
        <f t="shared" si="43"/>
        <v>Yes</v>
      </c>
      <c r="AD103" s="938">
        <f t="shared" si="44"/>
        <v>0.21290174491360991</v>
      </c>
      <c r="AE103" s="579">
        <f t="shared" si="11"/>
        <v>0.11889879957863858</v>
      </c>
      <c r="AF103" s="475">
        <f t="shared" si="45"/>
        <v>373.81875656843408</v>
      </c>
      <c r="AG103" s="473">
        <f t="shared" si="46"/>
        <v>8092.9230168287222</v>
      </c>
      <c r="AH103" s="474">
        <f t="shared" si="82"/>
        <v>7138.4126814801166</v>
      </c>
      <c r="AI103" s="474">
        <f t="shared" si="83"/>
        <v>5224.2662774937517</v>
      </c>
      <c r="AJ103" s="474">
        <f t="shared" si="12"/>
        <v>2489.7823118381648</v>
      </c>
      <c r="AK103" s="474">
        <f t="shared" si="47"/>
        <v>22945.384287640754</v>
      </c>
      <c r="AL103" s="640">
        <f t="shared" si="13"/>
        <v>0</v>
      </c>
      <c r="AM103" s="579">
        <f t="shared" si="48"/>
        <v>0.35270374709687796</v>
      </c>
      <c r="AN103" s="100">
        <f t="shared" si="49"/>
        <v>0.31110451635909769</v>
      </c>
      <c r="AO103" s="100">
        <f t="shared" si="50"/>
        <v>0.22768266645713742</v>
      </c>
      <c r="AP103" s="100">
        <f t="shared" si="51"/>
        <v>0.10850907008688693</v>
      </c>
      <c r="AQ103" s="471">
        <f t="shared" si="52"/>
        <v>1</v>
      </c>
      <c r="AR103" s="473">
        <f t="shared" si="14"/>
        <v>1654.668547768908</v>
      </c>
      <c r="AS103" s="474">
        <f t="shared" si="15"/>
        <v>2098.5673669974376</v>
      </c>
      <c r="AT103" s="474">
        <f t="shared" si="16"/>
        <v>561.98854859790856</v>
      </c>
      <c r="AU103" s="474">
        <f t="shared" si="17"/>
        <v>0</v>
      </c>
      <c r="AV103" s="474">
        <f t="shared" si="18"/>
        <v>0</v>
      </c>
      <c r="AW103" s="474">
        <f t="shared" si="19"/>
        <v>0</v>
      </c>
      <c r="AX103" s="474">
        <f t="shared" si="20"/>
        <v>2392.0131287241989</v>
      </c>
      <c r="AY103" s="474">
        <f t="shared" si="21"/>
        <v>345.83056057740941</v>
      </c>
      <c r="AZ103" s="474">
        <f t="shared" si="22"/>
        <v>502.66293463358051</v>
      </c>
      <c r="BA103" s="474">
        <f t="shared" si="23"/>
        <v>441.88062230017499</v>
      </c>
      <c r="BB103" s="474">
        <f t="shared" si="24"/>
        <v>95.311307229101487</v>
      </c>
      <c r="BC103" s="475">
        <f t="shared" si="53"/>
        <v>8092.9230168287195</v>
      </c>
      <c r="BD103" s="647">
        <f t="shared" si="54"/>
        <v>0</v>
      </c>
      <c r="BE103" s="383">
        <f t="shared" si="55"/>
        <v>0.20445870352753015</v>
      </c>
      <c r="BF103" s="383">
        <f t="shared" si="56"/>
        <v>0.25930894963829509</v>
      </c>
      <c r="BG103" s="383">
        <f t="shared" si="57"/>
        <v>6.9441973861519388E-2</v>
      </c>
      <c r="BH103" s="383">
        <f t="shared" si="58"/>
        <v>0</v>
      </c>
      <c r="BI103" s="383">
        <f t="shared" si="59"/>
        <v>0</v>
      </c>
      <c r="BJ103" s="383">
        <f t="shared" si="60"/>
        <v>0</v>
      </c>
      <c r="BK103" s="383">
        <f t="shared" si="61"/>
        <v>0.46679037297265541</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101.29449706092528</v>
      </c>
      <c r="BW103" s="100">
        <f t="shared" si="65"/>
        <v>0.42943967314429082</v>
      </c>
      <c r="BX103" s="1385">
        <f t="shared" si="25"/>
        <v>48.66538268302947</v>
      </c>
      <c r="BY103" s="473">
        <f t="shared" si="66"/>
        <v>101.29449706092528</v>
      </c>
      <c r="BZ103" s="100">
        <f t="shared" si="67"/>
        <v>0.42943967314429082</v>
      </c>
      <c r="CA103" s="489">
        <f t="shared" si="26"/>
        <v>48.66538268302947</v>
      </c>
      <c r="CB103" s="579">
        <f t="shared" si="27"/>
        <v>0.11889879957863858</v>
      </c>
      <c r="CC103" s="471">
        <f t="shared" si="68"/>
        <v>0.23722934686853547</v>
      </c>
      <c r="CD103" s="100">
        <f t="shared" si="28"/>
        <v>0.11889879957863858</v>
      </c>
      <c r="CE103" s="471">
        <f t="shared" si="69"/>
        <v>0.23722934686853547</v>
      </c>
      <c r="CG103" s="473">
        <f t="shared" si="70"/>
        <v>1347.7186055771954</v>
      </c>
      <c r="CH103" s="474">
        <f t="shared" si="71"/>
        <v>521.67090723751596</v>
      </c>
      <c r="CI103" s="474">
        <f t="shared" si="72"/>
        <v>2158.0297270465326</v>
      </c>
      <c r="CJ103" s="474">
        <f t="shared" si="73"/>
        <v>3069.4319035205908</v>
      </c>
      <c r="CK103" s="474">
        <f t="shared" si="74"/>
        <v>41.561538098281396</v>
      </c>
      <c r="CL103" s="474">
        <f t="shared" si="75"/>
        <v>7138.4126814801166</v>
      </c>
      <c r="CM103" s="576">
        <f t="shared" si="76"/>
        <v>0</v>
      </c>
    </row>
    <row r="104" spans="1:91">
      <c r="A104" s="89">
        <f>'Input data'!A124</f>
        <v>2024</v>
      </c>
      <c r="B104" s="152">
        <f>'Input data'!B124</f>
        <v>62.087792487153699</v>
      </c>
      <c r="C104" s="204">
        <f>'Input data'!C124</f>
        <v>4579.7873251148294</v>
      </c>
      <c r="D104" s="205">
        <f>'Input data'!D124</f>
        <v>48951332.662830688</v>
      </c>
      <c r="E104" s="579">
        <f t="shared" si="29"/>
        <v>0.7752969696969696</v>
      </c>
      <c r="F104" s="100">
        <f t="shared" si="30"/>
        <v>0.30607121212121208</v>
      </c>
      <c r="G104" s="474">
        <f>B104*F104*'Input data'!$C$9</f>
        <v>581.63529038075126</v>
      </c>
      <c r="H104" s="473">
        <f>'Input data'!I124</f>
        <v>424.26313389388866</v>
      </c>
      <c r="I104" s="474">
        <f>'Input data'!K124</f>
        <v>26341.561417153265</v>
      </c>
      <c r="J104" s="474">
        <f t="shared" si="77"/>
        <v>7672.7183375332434</v>
      </c>
      <c r="K104" s="475">
        <f t="shared" si="78"/>
        <v>4568.691205047603</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10117.969713369397</v>
      </c>
      <c r="AA104" s="475">
        <f t="shared" si="81"/>
        <v>2445.2513758361538</v>
      </c>
      <c r="AB104" s="938">
        <f t="shared" si="42"/>
        <v>0.24167411497635899</v>
      </c>
      <c r="AC104" s="118" t="str">
        <f t="shared" si="43"/>
        <v>Yes</v>
      </c>
      <c r="AD104" s="938">
        <f t="shared" si="44"/>
        <v>0.24167411497635899</v>
      </c>
      <c r="AE104" s="579">
        <f t="shared" si="11"/>
        <v>0.13265100107403016</v>
      </c>
      <c r="AF104" s="475">
        <f t="shared" si="45"/>
        <v>367.98420446405902</v>
      </c>
      <c r="AG104" s="473">
        <f t="shared" si="46"/>
        <v>7672.7183375332434</v>
      </c>
      <c r="AH104" s="474">
        <f t="shared" si="82"/>
        <v>7220.6055918725297</v>
      </c>
      <c r="AI104" s="474">
        <f t="shared" si="83"/>
        <v>5527.6148245239583</v>
      </c>
      <c r="AJ104" s="474">
        <f t="shared" si="12"/>
        <v>2426.3881713851051</v>
      </c>
      <c r="AK104" s="474">
        <f t="shared" si="47"/>
        <v>22847.326925314836</v>
      </c>
      <c r="AL104" s="640">
        <f t="shared" si="13"/>
        <v>0</v>
      </c>
      <c r="AM104" s="579">
        <f t="shared" si="48"/>
        <v>0.33582564658939912</v>
      </c>
      <c r="AN104" s="100">
        <f t="shared" si="49"/>
        <v>0.31603721588419603</v>
      </c>
      <c r="AO104" s="100">
        <f t="shared" si="50"/>
        <v>0.24193704771648195</v>
      </c>
      <c r="AP104" s="100">
        <f t="shared" si="51"/>
        <v>0.1062000898099229</v>
      </c>
      <c r="AQ104" s="471">
        <f t="shared" si="52"/>
        <v>1</v>
      </c>
      <c r="AR104" s="473">
        <f t="shared" si="14"/>
        <v>1518.1289349783247</v>
      </c>
      <c r="AS104" s="474">
        <f t="shared" si="15"/>
        <v>1925.3981990144357</v>
      </c>
      <c r="AT104" s="474">
        <f t="shared" si="16"/>
        <v>547.67935344721923</v>
      </c>
      <c r="AU104" s="474">
        <f t="shared" si="17"/>
        <v>0</v>
      </c>
      <c r="AV104" s="474">
        <f t="shared" si="18"/>
        <v>0</v>
      </c>
      <c r="AW104" s="474">
        <f t="shared" si="19"/>
        <v>0</v>
      </c>
      <c r="AX104" s="474">
        <f t="shared" si="20"/>
        <v>2331.1083598506698</v>
      </c>
      <c r="AY104" s="474">
        <f t="shared" si="21"/>
        <v>337.02511962541757</v>
      </c>
      <c r="AZ104" s="474">
        <f t="shared" si="22"/>
        <v>489.8642716632495</v>
      </c>
      <c r="BA104" s="474">
        <f t="shared" si="23"/>
        <v>430.62958155641559</v>
      </c>
      <c r="BB104" s="474">
        <f t="shared" si="24"/>
        <v>92.884517397509526</v>
      </c>
      <c r="BC104" s="475">
        <f t="shared" si="53"/>
        <v>7672.7183375332406</v>
      </c>
      <c r="BD104" s="647">
        <f t="shared" si="54"/>
        <v>0</v>
      </c>
      <c r="BE104" s="383">
        <f t="shared" si="55"/>
        <v>0.19786063663408232</v>
      </c>
      <c r="BF104" s="383">
        <f t="shared" si="56"/>
        <v>0.25094081579872596</v>
      </c>
      <c r="BG104" s="383">
        <f t="shared" si="57"/>
        <v>7.1380093645311199E-2</v>
      </c>
      <c r="BH104" s="383">
        <f t="shared" si="58"/>
        <v>0</v>
      </c>
      <c r="BI104" s="383">
        <f t="shared" si="59"/>
        <v>0</v>
      </c>
      <c r="BJ104" s="383">
        <f t="shared" si="60"/>
        <v>0</v>
      </c>
      <c r="BK104" s="383">
        <f t="shared" si="61"/>
        <v>0.47981845392188066</v>
      </c>
      <c r="BL104" s="383">
        <f t="shared" si="62"/>
        <v>1.0000000000000002</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99.660712786873077</v>
      </c>
      <c r="BW104" s="100">
        <f t="shared" si="65"/>
        <v>0.4501967784383204</v>
      </c>
      <c r="BX104" s="1385">
        <f t="shared" si="25"/>
        <v>48.951332662830687</v>
      </c>
      <c r="BY104" s="473">
        <f t="shared" si="66"/>
        <v>99.660712786873077</v>
      </c>
      <c r="BZ104" s="100">
        <f t="shared" si="67"/>
        <v>0.4501967784383204</v>
      </c>
      <c r="CA104" s="489">
        <f t="shared" si="26"/>
        <v>48.951332662830687</v>
      </c>
      <c r="CB104" s="579">
        <f t="shared" si="27"/>
        <v>0.13265100107403016</v>
      </c>
      <c r="CC104" s="471">
        <f t="shared" si="68"/>
        <v>0.26177150410927696</v>
      </c>
      <c r="CD104" s="100">
        <f t="shared" si="28"/>
        <v>0.13265100107403016</v>
      </c>
      <c r="CE104" s="471">
        <f t="shared" si="69"/>
        <v>0.26177150410927696</v>
      </c>
      <c r="CG104" s="473">
        <f t="shared" si="70"/>
        <v>1363.2364692151139</v>
      </c>
      <c r="CH104" s="474">
        <f t="shared" si="71"/>
        <v>527.67751571563645</v>
      </c>
      <c r="CI104" s="474">
        <f t="shared" si="72"/>
        <v>2182.8776521937411</v>
      </c>
      <c r="CJ104" s="474">
        <f t="shared" si="73"/>
        <v>3104.7738699575007</v>
      </c>
      <c r="CK104" s="474">
        <f t="shared" si="74"/>
        <v>42.040084790537726</v>
      </c>
      <c r="CL104" s="474">
        <f t="shared" si="75"/>
        <v>7220.6055918725297</v>
      </c>
      <c r="CM104" s="576">
        <f t="shared" si="76"/>
        <v>0</v>
      </c>
    </row>
    <row r="105" spans="1:91">
      <c r="A105" s="89">
        <f>'Input data'!A125</f>
        <v>2025</v>
      </c>
      <c r="B105" s="152">
        <f>'Input data'!B125</f>
        <v>62.802682000000026</v>
      </c>
      <c r="C105" s="204">
        <f>'Input data'!C125</f>
        <v>4678.6267528880244</v>
      </c>
      <c r="D105" s="205">
        <f>'Input data'!D125</f>
        <v>48538822.712079689</v>
      </c>
      <c r="E105" s="579">
        <f t="shared" si="29"/>
        <v>0.78393939393939382</v>
      </c>
      <c r="F105" s="100">
        <f t="shared" si="30"/>
        <v>0.30842424242424238</v>
      </c>
      <c r="G105" s="474">
        <f>B105*F105*'Input data'!$C$9</f>
        <v>592.85535125722038</v>
      </c>
      <c r="H105" s="473">
        <f>'Input data'!I125</f>
        <v>424.26313389388866</v>
      </c>
      <c r="I105" s="474">
        <f>'Input data'!K125</f>
        <v>26644.862682261322</v>
      </c>
      <c r="J105" s="474">
        <f t="shared" si="77"/>
        <v>7274.3317296730966</v>
      </c>
      <c r="K105" s="475">
        <f t="shared" si="78"/>
        <v>5108.0275061386474</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9955.5708595700871</v>
      </c>
      <c r="AA105" s="475">
        <f t="shared" si="81"/>
        <v>2681.2391298969906</v>
      </c>
      <c r="AB105" s="938">
        <f t="shared" si="42"/>
        <v>0.26932048073562453</v>
      </c>
      <c r="AC105" s="118" t="str">
        <f t="shared" si="43"/>
        <v>Yes</v>
      </c>
      <c r="AD105" s="938">
        <f t="shared" si="44"/>
        <v>0.26932048073562453</v>
      </c>
      <c r="AE105" s="579">
        <f t="shared" si="11"/>
        <v>0.14528032436176563</v>
      </c>
      <c r="AF105" s="475">
        <f t="shared" si="45"/>
        <v>362.62604818704528</v>
      </c>
      <c r="AG105" s="473">
        <f t="shared" si="46"/>
        <v>7274.3317296730966</v>
      </c>
      <c r="AH105" s="474">
        <f t="shared" si="82"/>
        <v>7303.7448855605326</v>
      </c>
      <c r="AI105" s="474">
        <f t="shared" si="83"/>
        <v>5830.9633715541659</v>
      </c>
      <c r="AJ105" s="474">
        <f t="shared" si="12"/>
        <v>2364.8484024198983</v>
      </c>
      <c r="AK105" s="474">
        <f t="shared" si="47"/>
        <v>22773.888389207692</v>
      </c>
      <c r="AL105" s="640">
        <f t="shared" si="13"/>
        <v>0</v>
      </c>
      <c r="AM105" s="579">
        <f t="shared" si="48"/>
        <v>0.31941544655678239</v>
      </c>
      <c r="AN105" s="100">
        <f t="shared" si="49"/>
        <v>0.32070697637306861</v>
      </c>
      <c r="AO105" s="100">
        <f t="shared" si="50"/>
        <v>0.2560372331638105</v>
      </c>
      <c r="AP105" s="100">
        <f t="shared" si="51"/>
        <v>0.1038403439063386</v>
      </c>
      <c r="AQ105" s="471">
        <f t="shared" si="52"/>
        <v>1.0000000000000002</v>
      </c>
      <c r="AR105" s="473">
        <f t="shared" si="14"/>
        <v>1389.7831880492163</v>
      </c>
      <c r="AS105" s="474">
        <f t="shared" si="15"/>
        <v>1762.6210696845108</v>
      </c>
      <c r="AT105" s="474">
        <f t="shared" si="16"/>
        <v>533.78872321928009</v>
      </c>
      <c r="AU105" s="474">
        <f t="shared" si="17"/>
        <v>0</v>
      </c>
      <c r="AV105" s="474">
        <f t="shared" si="18"/>
        <v>0</v>
      </c>
      <c r="AW105" s="474">
        <f t="shared" si="19"/>
        <v>0</v>
      </c>
      <c r="AX105" s="474">
        <f t="shared" si="20"/>
        <v>2271.9851446990806</v>
      </c>
      <c r="AY105" s="474">
        <f t="shared" si="21"/>
        <v>328.47725072224051</v>
      </c>
      <c r="AZ105" s="474">
        <f t="shared" si="22"/>
        <v>477.43998833629246</v>
      </c>
      <c r="BA105" s="474">
        <f t="shared" si="23"/>
        <v>419.70765023846087</v>
      </c>
      <c r="BB105" s="474">
        <f t="shared" si="24"/>
        <v>90.528714724013781</v>
      </c>
      <c r="BC105" s="475">
        <f t="shared" si="53"/>
        <v>7274.3317296730957</v>
      </c>
      <c r="BD105" s="647">
        <f t="shared" si="54"/>
        <v>0</v>
      </c>
      <c r="BE105" s="383">
        <f t="shared" si="55"/>
        <v>0.19105303960501019</v>
      </c>
      <c r="BF105" s="383">
        <f t="shared" si="56"/>
        <v>0.24230694106161171</v>
      </c>
      <c r="BG105" s="383">
        <f t="shared" si="57"/>
        <v>7.33797609259247E-2</v>
      </c>
      <c r="BH105" s="383">
        <f t="shared" si="58"/>
        <v>0</v>
      </c>
      <c r="BI105" s="383">
        <f t="shared" si="59"/>
        <v>0</v>
      </c>
      <c r="BJ105" s="383">
        <f t="shared" si="60"/>
        <v>0</v>
      </c>
      <c r="BK105" s="383">
        <f t="shared" si="61"/>
        <v>0.49326025840745336</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98.209446294936669</v>
      </c>
      <c r="BW105" s="100">
        <f t="shared" si="65"/>
        <v>0.47104119198988736</v>
      </c>
      <c r="BX105" s="1385">
        <f t="shared" si="25"/>
        <v>48.538822712079686</v>
      </c>
      <c r="BY105" s="473">
        <f t="shared" si="66"/>
        <v>98.209446294936669</v>
      </c>
      <c r="BZ105" s="100">
        <f t="shared" si="67"/>
        <v>0.47104119198988736</v>
      </c>
      <c r="CA105" s="489">
        <f t="shared" si="26"/>
        <v>48.538822712079686</v>
      </c>
      <c r="CB105" s="579">
        <f t="shared" si="27"/>
        <v>0.14528032436176563</v>
      </c>
      <c r="CC105" s="471">
        <f t="shared" si="68"/>
        <v>0.28038453844312683</v>
      </c>
      <c r="CD105" s="100">
        <f t="shared" si="28"/>
        <v>0.14528032436176563</v>
      </c>
      <c r="CE105" s="471">
        <f t="shared" si="69"/>
        <v>0.28038453844312683</v>
      </c>
      <c r="CG105" s="473">
        <f t="shared" si="70"/>
        <v>1378.9330082017941</v>
      </c>
      <c r="CH105" s="474">
        <f t="shared" si="71"/>
        <v>533.75328531604487</v>
      </c>
      <c r="CI105" s="474">
        <f t="shared" si="72"/>
        <v>2208.0116806213546</v>
      </c>
      <c r="CJ105" s="474">
        <f t="shared" si="73"/>
        <v>3140.5227698696881</v>
      </c>
      <c r="CK105" s="474">
        <f t="shared" si="74"/>
        <v>42.524141551649727</v>
      </c>
      <c r="CL105" s="474">
        <f t="shared" si="75"/>
        <v>7303.7448855605307</v>
      </c>
      <c r="CM105" s="576">
        <f t="shared" si="76"/>
        <v>0</v>
      </c>
    </row>
    <row r="106" spans="1:91">
      <c r="A106" s="89">
        <f>'Input data'!A126</f>
        <v>2026</v>
      </c>
      <c r="B106" s="152">
        <f>'Input data'!B126</f>
        <v>63.421065342005143</v>
      </c>
      <c r="C106" s="204">
        <f>'Input data'!C126</f>
        <v>4782.707139404285</v>
      </c>
      <c r="D106" s="205">
        <f>'Input data'!D126</f>
        <v>47372560.213695109</v>
      </c>
      <c r="E106" s="579">
        <f t="shared" si="29"/>
        <v>0.79258181818181805</v>
      </c>
      <c r="F106" s="100">
        <f t="shared" si="30"/>
        <v>0.31077727272727268</v>
      </c>
      <c r="G106" s="474">
        <f>B106*F106*'Input data'!$C$9</f>
        <v>603.26041842938696</v>
      </c>
      <c r="H106" s="473">
        <f>'Input data'!I126</f>
        <v>424.26313389388866</v>
      </c>
      <c r="I106" s="474">
        <f>'Input data'!K126</f>
        <v>26907.219936888188</v>
      </c>
      <c r="J106" s="474">
        <f t="shared" si="77"/>
        <v>6896.6303447470355</v>
      </c>
      <c r="K106" s="475">
        <f t="shared" si="78"/>
        <v>5607.6511472853772</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9774.1445687605483</v>
      </c>
      <c r="AA106" s="475">
        <f t="shared" si="81"/>
        <v>2877.5142240135128</v>
      </c>
      <c r="AB106" s="938">
        <f t="shared" si="42"/>
        <v>0.29440062030701147</v>
      </c>
      <c r="AC106" s="118" t="str">
        <f t="shared" si="43"/>
        <v>Yes</v>
      </c>
      <c r="AD106" s="938">
        <f t="shared" si="44"/>
        <v>0.29440062030701147</v>
      </c>
      <c r="AE106" s="579">
        <f t="shared" si="11"/>
        <v>0.15588583154405877</v>
      </c>
      <c r="AF106" s="475">
        <f t="shared" si="45"/>
        <v>358.12652247335149</v>
      </c>
      <c r="AG106" s="473">
        <f t="shared" si="46"/>
        <v>6896.6303447470355</v>
      </c>
      <c r="AH106" s="474">
        <f t="shared" si="82"/>
        <v>7375.6608297153634</v>
      </c>
      <c r="AI106" s="474">
        <f t="shared" si="83"/>
        <v>6134.3119185843725</v>
      </c>
      <c r="AJ106" s="474">
        <f t="shared" si="12"/>
        <v>2306.1624894407255</v>
      </c>
      <c r="AK106" s="474">
        <f t="shared" si="47"/>
        <v>22712.765582487496</v>
      </c>
      <c r="AL106" s="640">
        <f t="shared" si="13"/>
        <v>0</v>
      </c>
      <c r="AM106" s="579">
        <f t="shared" si="48"/>
        <v>0.30364555649113156</v>
      </c>
      <c r="AN106" s="100">
        <f t="shared" si="49"/>
        <v>0.32473636039295495</v>
      </c>
      <c r="AO106" s="100">
        <f t="shared" si="50"/>
        <v>0.27008212171723317</v>
      </c>
      <c r="AP106" s="100">
        <f t="shared" si="51"/>
        <v>0.10153596139868032</v>
      </c>
      <c r="AQ106" s="471">
        <f t="shared" si="52"/>
        <v>1</v>
      </c>
      <c r="AR106" s="473">
        <f t="shared" si="14"/>
        <v>1268.3638441533146</v>
      </c>
      <c r="AS106" s="474">
        <f t="shared" si="15"/>
        <v>1608.6284932463166</v>
      </c>
      <c r="AT106" s="474">
        <f t="shared" si="16"/>
        <v>520.54225950175169</v>
      </c>
      <c r="AU106" s="474">
        <f t="shared" si="17"/>
        <v>0</v>
      </c>
      <c r="AV106" s="474">
        <f t="shared" si="18"/>
        <v>0</v>
      </c>
      <c r="AW106" s="474">
        <f t="shared" si="19"/>
        <v>0</v>
      </c>
      <c r="AX106" s="474">
        <f t="shared" si="20"/>
        <v>2215.6037198452309</v>
      </c>
      <c r="AY106" s="474">
        <f t="shared" si="21"/>
        <v>320.32578218337028</v>
      </c>
      <c r="AZ106" s="474">
        <f t="shared" si="22"/>
        <v>465.59187089264998</v>
      </c>
      <c r="BA106" s="474">
        <f t="shared" si="23"/>
        <v>409.29221446956205</v>
      </c>
      <c r="BB106" s="474">
        <f t="shared" si="24"/>
        <v>88.282160454838049</v>
      </c>
      <c r="BC106" s="475">
        <f t="shared" si="53"/>
        <v>6896.6303447470345</v>
      </c>
      <c r="BD106" s="647">
        <f t="shared" si="54"/>
        <v>0</v>
      </c>
      <c r="BE106" s="383">
        <f t="shared" si="55"/>
        <v>0.18391066082284532</v>
      </c>
      <c r="BF106" s="383">
        <f t="shared" si="56"/>
        <v>0.23324847249085384</v>
      </c>
      <c r="BG106" s="383">
        <f t="shared" si="57"/>
        <v>7.5477767182089692E-2</v>
      </c>
      <c r="BH106" s="383">
        <f t="shared" si="58"/>
        <v>0</v>
      </c>
      <c r="BI106" s="383">
        <f t="shared" si="59"/>
        <v>0</v>
      </c>
      <c r="BJ106" s="383">
        <f t="shared" si="60"/>
        <v>0</v>
      </c>
      <c r="BK106" s="383">
        <f t="shared" si="61"/>
        <v>0.5073630995042111</v>
      </c>
      <c r="BL106" s="383">
        <f t="shared" si="62"/>
        <v>1</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96.860723321028317</v>
      </c>
      <c r="BW106" s="100">
        <f t="shared" si="65"/>
        <v>0.49152306893525899</v>
      </c>
      <c r="BX106" s="1385">
        <f t="shared" si="25"/>
        <v>47.37256021369511</v>
      </c>
      <c r="BY106" s="473">
        <f t="shared" si="66"/>
        <v>96.860723321028317</v>
      </c>
      <c r="BZ106" s="100">
        <f t="shared" si="67"/>
        <v>0.49152306893525899</v>
      </c>
      <c r="CA106" s="489">
        <f t="shared" si="26"/>
        <v>47.37256021369511</v>
      </c>
      <c r="CB106" s="579">
        <f t="shared" si="27"/>
        <v>0.15588583154405877</v>
      </c>
      <c r="CC106" s="471">
        <f t="shared" si="68"/>
        <v>0.29324693266375179</v>
      </c>
      <c r="CD106" s="100">
        <f t="shared" si="28"/>
        <v>0.15588583154405877</v>
      </c>
      <c r="CE106" s="471">
        <f t="shared" si="69"/>
        <v>0.29324693266375179</v>
      </c>
      <c r="CG106" s="473">
        <f t="shared" si="70"/>
        <v>1392.5106003500562</v>
      </c>
      <c r="CH106" s="474">
        <f t="shared" si="71"/>
        <v>539.00885927990748</v>
      </c>
      <c r="CI106" s="474">
        <f t="shared" si="72"/>
        <v>2229.752752798001</v>
      </c>
      <c r="CJ106" s="474">
        <f t="shared" si="73"/>
        <v>3171.4457639876014</v>
      </c>
      <c r="CK106" s="474">
        <f t="shared" si="74"/>
        <v>42.942853299797797</v>
      </c>
      <c r="CL106" s="474">
        <f t="shared" si="75"/>
        <v>7375.6608297153643</v>
      </c>
      <c r="CM106" s="576">
        <f t="shared" si="76"/>
        <v>0</v>
      </c>
    </row>
    <row r="107" spans="1:91" s="1" customFormat="1">
      <c r="A107" s="89">
        <f>'Input data'!A127</f>
        <v>2027</v>
      </c>
      <c r="B107" s="152">
        <f>'Input data'!B127</f>
        <v>64.045537563425796</v>
      </c>
      <c r="C107" s="204">
        <f>'Input data'!C127</f>
        <v>4895.4664822406658</v>
      </c>
      <c r="D107" s="205">
        <f>'Input data'!D127</f>
        <v>47544656.205152296</v>
      </c>
      <c r="E107" s="579">
        <f t="shared" si="29"/>
        <v>0.80122424242424228</v>
      </c>
      <c r="F107" s="100">
        <f t="shared" si="30"/>
        <v>0.31313030303030298</v>
      </c>
      <c r="G107" s="474">
        <f>B107*F107*'Input data'!$C$9</f>
        <v>613.81291267606582</v>
      </c>
      <c r="H107" s="473">
        <f>'Input data'!I127</f>
        <v>424.26313389388866</v>
      </c>
      <c r="I107" s="474">
        <f>'Input data'!K127</f>
        <v>27172.160478577796</v>
      </c>
      <c r="J107" s="474">
        <f t="shared" si="77"/>
        <v>6538.5401545638715</v>
      </c>
      <c r="K107" s="475">
        <f t="shared" si="78"/>
        <v>6088.8640948440307</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9593.9187791058321</v>
      </c>
      <c r="AA107" s="475">
        <f t="shared" si="81"/>
        <v>3055.3786245419606</v>
      </c>
      <c r="AB107" s="938">
        <f t="shared" si="42"/>
        <v>0.31847034511029354</v>
      </c>
      <c r="AC107" s="118" t="str">
        <f t="shared" si="43"/>
        <v>Yes</v>
      </c>
      <c r="AD107" s="938">
        <f t="shared" si="44"/>
        <v>0.31847034511029354</v>
      </c>
      <c r="AE107" s="579">
        <f t="shared" si="11"/>
        <v>0.16554621920854717</v>
      </c>
      <c r="AF107" s="475">
        <f t="shared" si="45"/>
        <v>354.0279761281858</v>
      </c>
      <c r="AG107" s="473">
        <f t="shared" si="46"/>
        <v>6538.5401545638715</v>
      </c>
      <c r="AH107" s="474">
        <f t="shared" si="82"/>
        <v>7448.2848904740404</v>
      </c>
      <c r="AI107" s="474">
        <f t="shared" si="83"/>
        <v>6437.6604656145792</v>
      </c>
      <c r="AJ107" s="474">
        <f t="shared" si="12"/>
        <v>2249.4265329688442</v>
      </c>
      <c r="AK107" s="474">
        <f t="shared" si="47"/>
        <v>22673.912043621334</v>
      </c>
      <c r="AL107" s="640">
        <f t="shared" si="13"/>
        <v>0</v>
      </c>
      <c r="AM107" s="579">
        <f t="shared" si="48"/>
        <v>0.28837282873747871</v>
      </c>
      <c r="AN107" s="100">
        <f t="shared" si="49"/>
        <v>0.32849580064280992</v>
      </c>
      <c r="AO107" s="100">
        <f t="shared" si="50"/>
        <v>0.2839236763920337</v>
      </c>
      <c r="AP107" s="100">
        <f t="shared" si="51"/>
        <v>9.9207694227677709E-2</v>
      </c>
      <c r="AQ107" s="471">
        <f t="shared" si="52"/>
        <v>1</v>
      </c>
      <c r="AR107" s="473">
        <f t="shared" si="14"/>
        <v>1154.0919824490891</v>
      </c>
      <c r="AS107" s="474">
        <f t="shared" si="15"/>
        <v>1463.7008578828006</v>
      </c>
      <c r="AT107" s="474">
        <f t="shared" si="16"/>
        <v>507.73593596119815</v>
      </c>
      <c r="AU107" s="474">
        <f t="shared" si="17"/>
        <v>0</v>
      </c>
      <c r="AV107" s="474">
        <f t="shared" si="18"/>
        <v>0</v>
      </c>
      <c r="AW107" s="474">
        <f t="shared" si="19"/>
        <v>0</v>
      </c>
      <c r="AX107" s="474">
        <f t="shared" si="20"/>
        <v>2161.0956802844271</v>
      </c>
      <c r="AY107" s="474">
        <f t="shared" si="21"/>
        <v>312.44516244473925</v>
      </c>
      <c r="AZ107" s="474">
        <f t="shared" si="22"/>
        <v>454.13743078204311</v>
      </c>
      <c r="BA107" s="474">
        <f t="shared" si="23"/>
        <v>399.22285232758378</v>
      </c>
      <c r="BB107" s="474">
        <f t="shared" si="24"/>
        <v>86.110252431989224</v>
      </c>
      <c r="BC107" s="475">
        <f t="shared" si="53"/>
        <v>6538.5401545638706</v>
      </c>
      <c r="BD107" s="647">
        <f t="shared" si="54"/>
        <v>0</v>
      </c>
      <c r="BE107" s="383">
        <f t="shared" si="55"/>
        <v>0.17650606330581883</v>
      </c>
      <c r="BF107" s="383">
        <f t="shared" si="56"/>
        <v>0.22385743962452295</v>
      </c>
      <c r="BG107" s="383">
        <f t="shared" si="57"/>
        <v>7.7652797713079855E-2</v>
      </c>
      <c r="BH107" s="383">
        <f t="shared" si="58"/>
        <v>0</v>
      </c>
      <c r="BI107" s="383">
        <f t="shared" si="59"/>
        <v>0</v>
      </c>
      <c r="BJ107" s="383">
        <f t="shared" si="60"/>
        <v>0</v>
      </c>
      <c r="BK107" s="383">
        <f t="shared" si="61"/>
        <v>0.52198369935657829</v>
      </c>
      <c r="BL107" s="383">
        <f t="shared" si="62"/>
        <v>1</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96.072214770336927</v>
      </c>
      <c r="BW107" s="100">
        <f t="shared" si="65"/>
        <v>0.51246564716937448</v>
      </c>
      <c r="BX107" s="1385">
        <f t="shared" si="25"/>
        <v>47.544656205152293</v>
      </c>
      <c r="BY107" s="473">
        <f t="shared" si="66"/>
        <v>96.072214770336927</v>
      </c>
      <c r="BZ107" s="100">
        <f t="shared" si="67"/>
        <v>0.51246564716937448</v>
      </c>
      <c r="CA107" s="489">
        <f t="shared" si="26"/>
        <v>47.544656205152293</v>
      </c>
      <c r="CB107" s="579">
        <f t="shared" si="27"/>
        <v>0.16554621920854717</v>
      </c>
      <c r="CC107" s="471">
        <f t="shared" si="68"/>
        <v>0.31044005724397417</v>
      </c>
      <c r="CD107" s="100">
        <f t="shared" si="28"/>
        <v>0.16554621920854717</v>
      </c>
      <c r="CE107" s="471">
        <f t="shared" si="69"/>
        <v>0.31044005724397417</v>
      </c>
      <c r="CG107" s="473">
        <f t="shared" si="70"/>
        <v>1406.221883553249</v>
      </c>
      <c r="CH107" s="474">
        <f t="shared" si="71"/>
        <v>544.31618197946807</v>
      </c>
      <c r="CI107" s="474">
        <f t="shared" si="72"/>
        <v>2251.7078973111029</v>
      </c>
      <c r="CJ107" s="474">
        <f t="shared" si="73"/>
        <v>3202.6732397588221</v>
      </c>
      <c r="CK107" s="474">
        <f t="shared" si="74"/>
        <v>43.365687871397228</v>
      </c>
      <c r="CL107" s="474">
        <f t="shared" si="75"/>
        <v>7448.2848904740395</v>
      </c>
      <c r="CM107" s="576">
        <f t="shared" si="76"/>
        <v>0</v>
      </c>
    </row>
    <row r="108" spans="1:91">
      <c r="A108" s="89">
        <f>'Input data'!A128</f>
        <v>2028</v>
      </c>
      <c r="B108" s="152">
        <f>'Input data'!B128</f>
        <v>64.676158618096451</v>
      </c>
      <c r="C108" s="204">
        <f>'Input data'!C128</f>
        <v>5007.2618284439486</v>
      </c>
      <c r="D108" s="205">
        <f>'Input data'!D128</f>
        <v>47264829.111875661</v>
      </c>
      <c r="E108" s="579">
        <f t="shared" si="29"/>
        <v>0.80986666666666651</v>
      </c>
      <c r="F108" s="100">
        <f t="shared" si="30"/>
        <v>0.31548333333333328</v>
      </c>
      <c r="G108" s="474">
        <f>B108*F108*'Input data'!$C$9</f>
        <v>624.5147284656291</v>
      </c>
      <c r="H108" s="473">
        <f>'Input data'!I128</f>
        <v>424.26313389388866</v>
      </c>
      <c r="I108" s="474">
        <f>'Input data'!K128</f>
        <v>27439.709743531836</v>
      </c>
      <c r="J108" s="474">
        <f t="shared" si="77"/>
        <v>6199.0428971457768</v>
      </c>
      <c r="K108" s="475">
        <f t="shared" si="78"/>
        <v>6552.6964314646102</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9718.2538583083169</v>
      </c>
      <c r="AA108" s="475">
        <f t="shared" si="81"/>
        <v>3519.2109611625401</v>
      </c>
      <c r="AB108" s="938">
        <f t="shared" si="42"/>
        <v>0.3621237943021936</v>
      </c>
      <c r="AC108" s="118" t="str">
        <f t="shared" si="43"/>
        <v>Yes</v>
      </c>
      <c r="AD108" s="938">
        <f t="shared" si="44"/>
        <v>0.3621237943021936</v>
      </c>
      <c r="AE108" s="579">
        <f t="shared" si="11"/>
        <v>0.18787758011779954</v>
      </c>
      <c r="AF108" s="475">
        <f t="shared" si="45"/>
        <v>344.55360296471088</v>
      </c>
      <c r="AG108" s="473">
        <f t="shared" si="46"/>
        <v>6199.0428971457768</v>
      </c>
      <c r="AH108" s="474">
        <f t="shared" si="82"/>
        <v>7521.6240402698641</v>
      </c>
      <c r="AI108" s="474">
        <f t="shared" si="83"/>
        <v>6437.6604656145792</v>
      </c>
      <c r="AJ108" s="474">
        <f t="shared" si="12"/>
        <v>2126.0760747520476</v>
      </c>
      <c r="AK108" s="474">
        <f t="shared" si="47"/>
        <v>22284.403477782267</v>
      </c>
      <c r="AL108" s="640">
        <f t="shared" si="13"/>
        <v>0</v>
      </c>
      <c r="AM108" s="579">
        <f t="shared" si="48"/>
        <v>0.27817854327248531</v>
      </c>
      <c r="AN108" s="100">
        <f t="shared" si="49"/>
        <v>0.33752862389917615</v>
      </c>
      <c r="AO108" s="100">
        <f t="shared" si="50"/>
        <v>0.28888637167393688</v>
      </c>
      <c r="AP108" s="100">
        <f t="shared" si="51"/>
        <v>9.5406461154401684E-2</v>
      </c>
      <c r="AQ108" s="471">
        <f t="shared" si="52"/>
        <v>1</v>
      </c>
      <c r="AR108" s="473">
        <f t="shared" si="14"/>
        <v>1099.2054164401477</v>
      </c>
      <c r="AS108" s="474">
        <f t="shared" si="15"/>
        <v>1394.0898433577318</v>
      </c>
      <c r="AT108" s="474">
        <f t="shared" si="16"/>
        <v>479.89352393483699</v>
      </c>
      <c r="AU108" s="474">
        <f t="shared" si="17"/>
        <v>0</v>
      </c>
      <c r="AV108" s="474">
        <f t="shared" si="18"/>
        <v>0</v>
      </c>
      <c r="AW108" s="474">
        <f t="shared" si="19"/>
        <v>0</v>
      </c>
      <c r="AX108" s="474">
        <f t="shared" si="20"/>
        <v>2042.5889682374259</v>
      </c>
      <c r="AY108" s="474">
        <f t="shared" si="21"/>
        <v>295.31179383264521</v>
      </c>
      <c r="AZ108" s="474">
        <f t="shared" si="22"/>
        <v>429.23416794623495</v>
      </c>
      <c r="BA108" s="474">
        <f t="shared" si="23"/>
        <v>377.33090740585732</v>
      </c>
      <c r="BB108" s="474">
        <f t="shared" si="24"/>
        <v>81.388275990895551</v>
      </c>
      <c r="BC108" s="475">
        <f t="shared" si="53"/>
        <v>6199.042897145775</v>
      </c>
      <c r="BD108" s="647">
        <f t="shared" si="54"/>
        <v>0</v>
      </c>
      <c r="BE108" s="383">
        <f t="shared" si="55"/>
        <v>0.17731856912076779</v>
      </c>
      <c r="BF108" s="383">
        <f t="shared" si="56"/>
        <v>0.22488791681045028</v>
      </c>
      <c r="BG108" s="383">
        <f t="shared" si="57"/>
        <v>7.7414131809895093E-2</v>
      </c>
      <c r="BH108" s="383">
        <f t="shared" si="58"/>
        <v>0</v>
      </c>
      <c r="BI108" s="383">
        <f t="shared" si="59"/>
        <v>0</v>
      </c>
      <c r="BJ108" s="383">
        <f t="shared" si="60"/>
        <v>0</v>
      </c>
      <c r="BK108" s="383">
        <f t="shared" si="61"/>
        <v>0.52037938225888702</v>
      </c>
      <c r="BL108" s="383">
        <f t="shared" si="62"/>
        <v>1.0000000000000002</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95.976114890149461</v>
      </c>
      <c r="BW108" s="100">
        <f t="shared" si="65"/>
        <v>0.52510668965462204</v>
      </c>
      <c r="BX108" s="1385">
        <f t="shared" si="25"/>
        <v>47.264829111875663</v>
      </c>
      <c r="BY108" s="473">
        <f t="shared" si="66"/>
        <v>95.976114890149461</v>
      </c>
      <c r="BZ108" s="100">
        <f t="shared" si="67"/>
        <v>0.52510668965462204</v>
      </c>
      <c r="CA108" s="489">
        <f t="shared" si="26"/>
        <v>47.264829111875663</v>
      </c>
      <c r="CB108" s="579">
        <f t="shared" si="27"/>
        <v>0.18787758011779954</v>
      </c>
      <c r="CC108" s="471">
        <f t="shared" si="68"/>
        <v>0.31454304981852543</v>
      </c>
      <c r="CD108" s="100">
        <f t="shared" si="28"/>
        <v>0.18787758011779954</v>
      </c>
      <c r="CE108" s="471">
        <f t="shared" si="69"/>
        <v>0.31454304981852543</v>
      </c>
      <c r="CG108" s="473">
        <f t="shared" si="70"/>
        <v>1420.0681741933902</v>
      </c>
      <c r="CH108" s="474">
        <f t="shared" si="71"/>
        <v>549.67576295596086</v>
      </c>
      <c r="CI108" s="474">
        <f t="shared" si="72"/>
        <v>2273.8792220127862</v>
      </c>
      <c r="CJ108" s="474">
        <f t="shared" si="73"/>
        <v>3234.2081952461122</v>
      </c>
      <c r="CK108" s="474">
        <f t="shared" si="74"/>
        <v>43.792685861614679</v>
      </c>
      <c r="CL108" s="474">
        <f t="shared" si="75"/>
        <v>7521.6240402698641</v>
      </c>
      <c r="CM108" s="576">
        <f t="shared" si="76"/>
        <v>0</v>
      </c>
    </row>
    <row r="109" spans="1:91">
      <c r="A109" s="89">
        <f>'Input data'!A129</f>
        <v>2029</v>
      </c>
      <c r="B109" s="152">
        <f>'Input data'!B129</f>
        <v>65.31298905018393</v>
      </c>
      <c r="C109" s="204">
        <f>'Input data'!C129</f>
        <v>5127.4326756514902</v>
      </c>
      <c r="D109" s="205">
        <f>'Input data'!D129</f>
        <v>45911028.865820996</v>
      </c>
      <c r="E109" s="579">
        <f t="shared" si="29"/>
        <v>0.81850909090909074</v>
      </c>
      <c r="F109" s="100">
        <f t="shared" si="30"/>
        <v>0.31783636363636358</v>
      </c>
      <c r="G109" s="474">
        <f>B109*F109*'Input data'!$C$9</f>
        <v>635.36778328058904</v>
      </c>
      <c r="H109" s="473">
        <f>'Input data'!I129</f>
        <v>424.26313389388866</v>
      </c>
      <c r="I109" s="474">
        <f>'Input data'!K129</f>
        <v>27709.893418408268</v>
      </c>
      <c r="J109" s="474">
        <f t="shared" si="77"/>
        <v>5877.1731812078651</v>
      </c>
      <c r="K109" s="475">
        <f t="shared" si="78"/>
        <v>7000.1254854958279</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9843.8131964016229</v>
      </c>
      <c r="AA109" s="475">
        <f t="shared" si="81"/>
        <v>3966.6400151937578</v>
      </c>
      <c r="AB109" s="938">
        <f t="shared" si="42"/>
        <v>0.40295766854289267</v>
      </c>
      <c r="AC109" s="118" t="str">
        <f t="shared" si="43"/>
        <v>Yes</v>
      </c>
      <c r="AD109" s="938">
        <f t="shared" si="44"/>
        <v>0.40295766854289267</v>
      </c>
      <c r="AE109" s="579">
        <f t="shared" si="11"/>
        <v>0.20894363003364869</v>
      </c>
      <c r="AF109" s="475">
        <f t="shared" si="45"/>
        <v>335.61605460864763</v>
      </c>
      <c r="AG109" s="473">
        <f t="shared" si="46"/>
        <v>5877.1731812078651</v>
      </c>
      <c r="AH109" s="474">
        <f t="shared" si="82"/>
        <v>7595.6853201898566</v>
      </c>
      <c r="AI109" s="474">
        <f t="shared" si="83"/>
        <v>6437.6604656145792</v>
      </c>
      <c r="AJ109" s="474">
        <f t="shared" si="12"/>
        <v>2009.5687327082351</v>
      </c>
      <c r="AK109" s="474">
        <f t="shared" si="47"/>
        <v>21920.087699720534</v>
      </c>
      <c r="AL109" s="640">
        <f t="shared" si="13"/>
        <v>0</v>
      </c>
      <c r="AM109" s="579">
        <f t="shared" si="48"/>
        <v>0.26811814175737969</v>
      </c>
      <c r="AN109" s="100">
        <f t="shared" si="49"/>
        <v>0.34651710450440837</v>
      </c>
      <c r="AO109" s="100">
        <f t="shared" si="50"/>
        <v>0.29368771483960143</v>
      </c>
      <c r="AP109" s="100">
        <f t="shared" si="51"/>
        <v>9.1677038898610591E-2</v>
      </c>
      <c r="AQ109" s="471">
        <f t="shared" si="52"/>
        <v>1.0000000000000002</v>
      </c>
      <c r="AR109" s="473">
        <f t="shared" si="14"/>
        <v>1046.831777980605</v>
      </c>
      <c r="AS109" s="474">
        <f t="shared" si="15"/>
        <v>1327.6659008042118</v>
      </c>
      <c r="AT109" s="474">
        <f t="shared" si="16"/>
        <v>453.59572603303462</v>
      </c>
      <c r="AU109" s="474">
        <f t="shared" si="17"/>
        <v>0</v>
      </c>
      <c r="AV109" s="474">
        <f t="shared" si="18"/>
        <v>0</v>
      </c>
      <c r="AW109" s="474">
        <f t="shared" si="19"/>
        <v>0</v>
      </c>
      <c r="AX109" s="474">
        <f t="shared" si="20"/>
        <v>1930.6566557470978</v>
      </c>
      <c r="AY109" s="474">
        <f t="shared" si="21"/>
        <v>279.12893350030998</v>
      </c>
      <c r="AZ109" s="474">
        <f t="shared" si="22"/>
        <v>405.71246398856471</v>
      </c>
      <c r="BA109" s="474">
        <f t="shared" si="23"/>
        <v>356.6534624099329</v>
      </c>
      <c r="BB109" s="474">
        <f t="shared" si="24"/>
        <v>76.928260744106552</v>
      </c>
      <c r="BC109" s="475">
        <f t="shared" si="53"/>
        <v>5877.1731812078642</v>
      </c>
      <c r="BD109" s="647">
        <f t="shared" si="54"/>
        <v>0</v>
      </c>
      <c r="BE109" s="383">
        <f t="shared" si="55"/>
        <v>0.17811824591588135</v>
      </c>
      <c r="BF109" s="383">
        <f t="shared" si="56"/>
        <v>0.22590212332850684</v>
      </c>
      <c r="BG109" s="383">
        <f t="shared" si="57"/>
        <v>7.717923431002463E-2</v>
      </c>
      <c r="BH109" s="383">
        <f t="shared" si="58"/>
        <v>0</v>
      </c>
      <c r="BI109" s="383">
        <f t="shared" si="59"/>
        <v>0</v>
      </c>
      <c r="BJ109" s="383">
        <f t="shared" si="60"/>
        <v>0</v>
      </c>
      <c r="BK109" s="383">
        <f t="shared" si="61"/>
        <v>0.51880039644558706</v>
      </c>
      <c r="BL109" s="383">
        <f t="shared" si="62"/>
        <v>0.99999999999999989</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94.874180411535164</v>
      </c>
      <c r="BW109" s="100">
        <f t="shared" si="65"/>
        <v>0.54253322011085781</v>
      </c>
      <c r="BX109" s="1385">
        <f t="shared" si="25"/>
        <v>45.911028865820995</v>
      </c>
      <c r="BY109" s="473">
        <f t="shared" si="66"/>
        <v>94.874180411535164</v>
      </c>
      <c r="BZ109" s="100">
        <f t="shared" si="67"/>
        <v>0.54253322011085781</v>
      </c>
      <c r="CA109" s="489">
        <f t="shared" si="26"/>
        <v>45.911028865820995</v>
      </c>
      <c r="CB109" s="579">
        <f t="shared" si="27"/>
        <v>0.20894363003364869</v>
      </c>
      <c r="CC109" s="471">
        <f t="shared" si="68"/>
        <v>0.32198423880985849</v>
      </c>
      <c r="CD109" s="100">
        <f t="shared" si="28"/>
        <v>0.20894363003364869</v>
      </c>
      <c r="CE109" s="471">
        <f t="shared" si="69"/>
        <v>0.32198423880985849</v>
      </c>
      <c r="CG109" s="473">
        <f t="shared" si="70"/>
        <v>1434.050801614188</v>
      </c>
      <c r="CH109" s="474">
        <f t="shared" si="71"/>
        <v>555.08811676779214</v>
      </c>
      <c r="CI109" s="474">
        <f t="shared" si="72"/>
        <v>2296.2688555100353</v>
      </c>
      <c r="CJ109" s="474">
        <f t="shared" si="73"/>
        <v>3266.0536580325047</v>
      </c>
      <c r="CK109" s="474">
        <f t="shared" si="74"/>
        <v>44.223888265335049</v>
      </c>
      <c r="CL109" s="474">
        <f t="shared" si="75"/>
        <v>7595.6853201898539</v>
      </c>
      <c r="CM109" s="576">
        <f t="shared" si="76"/>
        <v>0</v>
      </c>
    </row>
    <row r="110" spans="1:91" s="1" customFormat="1">
      <c r="A110" s="89">
        <f>'Input data'!A130</f>
        <v>2030</v>
      </c>
      <c r="B110" s="152">
        <f>'Input data'!B130</f>
        <v>65.956090000000003</v>
      </c>
      <c r="C110" s="204">
        <f>'Input data'!C130</f>
        <v>5247.6087278453806</v>
      </c>
      <c r="D110" s="205">
        <f>'Input data'!D130</f>
        <v>43025080.542663962</v>
      </c>
      <c r="E110" s="579">
        <f t="shared" si="29"/>
        <v>0.82715151515151497</v>
      </c>
      <c r="F110" s="100">
        <f t="shared" si="30"/>
        <v>0.32018939393939388</v>
      </c>
      <c r="G110" s="474">
        <f>B110*F110*'Input data'!$C$9</f>
        <v>646.37401788713851</v>
      </c>
      <c r="H110" s="473">
        <f>'Input data'!I130</f>
        <v>424.26313389388866</v>
      </c>
      <c r="I110" s="474">
        <f>'Input data'!K130</f>
        <v>27982.737442787373</v>
      </c>
      <c r="J110" s="474">
        <f>J97*(1-$C$4)</f>
        <v>5572.0157409803969</v>
      </c>
      <c r="K110" s="475">
        <f t="shared" si="78"/>
        <v>7432.0785773089146</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9970.6088479872415</v>
      </c>
      <c r="AA110" s="475">
        <f t="shared" si="81"/>
        <v>4398.5931070068445</v>
      </c>
      <c r="AB110" s="938">
        <f t="shared" si="42"/>
        <v>0.4411559187676673</v>
      </c>
      <c r="AC110" s="118" t="str">
        <f t="shared" si="43"/>
        <v>Yes</v>
      </c>
      <c r="AD110" s="938">
        <f t="shared" si="44"/>
        <v>0.4411559187676673</v>
      </c>
      <c r="AE110" s="579">
        <f t="shared" si="11"/>
        <v>0.22882200098597416</v>
      </c>
      <c r="AF110" s="475">
        <f t="shared" si="45"/>
        <v>327.18239465170882</v>
      </c>
      <c r="AG110" s="473">
        <f t="shared" si="46"/>
        <v>5572.0157409803969</v>
      </c>
      <c r="AH110" s="474">
        <f t="shared" si="82"/>
        <v>7670.4758406507226</v>
      </c>
      <c r="AI110" s="474">
        <f t="shared" si="83"/>
        <v>6437.6604656145792</v>
      </c>
      <c r="AJ110" s="474">
        <f t="shared" si="12"/>
        <v>1899.5194208179271</v>
      </c>
      <c r="AK110" s="474">
        <f t="shared" si="47"/>
        <v>21579.671468063625</v>
      </c>
      <c r="AL110" s="640">
        <f t="shared" si="13"/>
        <v>0</v>
      </c>
      <c r="AM110" s="579">
        <f t="shared" si="48"/>
        <v>0.25820669926447132</v>
      </c>
      <c r="AN110" s="100">
        <f t="shared" si="49"/>
        <v>0.35544914814863982</v>
      </c>
      <c r="AO110" s="100">
        <f t="shared" si="50"/>
        <v>0.29832059654577492</v>
      </c>
      <c r="AP110" s="100">
        <f t="shared" si="51"/>
        <v>8.802355604111399E-2</v>
      </c>
      <c r="AQ110" s="471">
        <f t="shared" si="52"/>
        <v>1</v>
      </c>
      <c r="AR110" s="473">
        <f t="shared" si="14"/>
        <v>996.86346907006885</v>
      </c>
      <c r="AS110" s="474">
        <f t="shared" si="15"/>
        <v>1264.2925668485441</v>
      </c>
      <c r="AT110" s="474">
        <f t="shared" si="16"/>
        <v>428.75562143056737</v>
      </c>
      <c r="AU110" s="474">
        <f t="shared" si="17"/>
        <v>0</v>
      </c>
      <c r="AV110" s="474">
        <f t="shared" si="18"/>
        <v>0</v>
      </c>
      <c r="AW110" s="474">
        <f t="shared" si="19"/>
        <v>0</v>
      </c>
      <c r="AX110" s="474">
        <f t="shared" si="20"/>
        <v>1824.9287784153903</v>
      </c>
      <c r="AY110" s="474">
        <f t="shared" si="21"/>
        <v>263.8430930309537</v>
      </c>
      <c r="AZ110" s="474">
        <f t="shared" si="22"/>
        <v>383.49457377134803</v>
      </c>
      <c r="BA110" s="474">
        <f t="shared" si="23"/>
        <v>337.1221731921645</v>
      </c>
      <c r="BB110" s="474">
        <f t="shared" si="24"/>
        <v>72.715465221358798</v>
      </c>
      <c r="BC110" s="475">
        <f t="shared" si="53"/>
        <v>5572.0157409803942</v>
      </c>
      <c r="BD110" s="647">
        <f t="shared" si="54"/>
        <v>0</v>
      </c>
      <c r="BE110" s="383">
        <f t="shared" si="55"/>
        <v>0.17890535766768509</v>
      </c>
      <c r="BF110" s="383">
        <f t="shared" si="56"/>
        <v>0.22690039397234227</v>
      </c>
      <c r="BG110" s="383">
        <f t="shared" si="57"/>
        <v>7.6948027672859368E-2</v>
      </c>
      <c r="BH110" s="383">
        <f t="shared" si="58"/>
        <v>0</v>
      </c>
      <c r="BI110" s="383">
        <f t="shared" si="59"/>
        <v>0</v>
      </c>
      <c r="BJ110" s="383">
        <f t="shared" si="60"/>
        <v>0</v>
      </c>
      <c r="BK110" s="383">
        <f t="shared" si="61"/>
        <v>0.51724622068711357</v>
      </c>
      <c r="BL110" s="383">
        <f t="shared" si="62"/>
        <v>1.0000000000000002</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92.264024091030194</v>
      </c>
      <c r="BW110" s="100">
        <f t="shared" si="65"/>
        <v>0.56654741033564404</v>
      </c>
      <c r="BX110" s="1385">
        <f t="shared" si="25"/>
        <v>43.025080542663964</v>
      </c>
      <c r="BY110" s="473">
        <f t="shared" si="66"/>
        <v>92.264024091030194</v>
      </c>
      <c r="BZ110" s="100">
        <f t="shared" si="67"/>
        <v>0.56654741033564404</v>
      </c>
      <c r="CA110" s="489">
        <f t="shared" si="26"/>
        <v>43.025080542663964</v>
      </c>
      <c r="CB110" s="579">
        <f t="shared" si="27"/>
        <v>0.22882200098597416</v>
      </c>
      <c r="CC110" s="471">
        <f t="shared" si="68"/>
        <v>0.33416712207572952</v>
      </c>
      <c r="CD110" s="100">
        <f t="shared" si="28"/>
        <v>0.22882200098597416</v>
      </c>
      <c r="CE110" s="471">
        <f t="shared" si="69"/>
        <v>0.33416712207572952</v>
      </c>
      <c r="CG110" s="473">
        <f t="shared" si="70"/>
        <v>1448.1711082486611</v>
      </c>
      <c r="CH110" s="474">
        <f t="shared" si="71"/>
        <v>560.55376303994024</v>
      </c>
      <c r="CI110" s="474">
        <f t="shared" si="72"/>
        <v>2318.8789473690513</v>
      </c>
      <c r="CJ110" s="474">
        <f t="shared" si="73"/>
        <v>3298.2126855119714</v>
      </c>
      <c r="CK110" s="474">
        <f t="shared" si="74"/>
        <v>44.65933648109722</v>
      </c>
      <c r="CL110" s="474">
        <f t="shared" si="75"/>
        <v>7670.4758406507208</v>
      </c>
      <c r="CM110" s="576">
        <f t="shared" si="76"/>
        <v>0</v>
      </c>
    </row>
    <row r="111" spans="1:91">
      <c r="A111" s="89">
        <f>'Input data'!A131</f>
        <v>2031</v>
      </c>
      <c r="B111" s="152">
        <f>'Input data'!B131</f>
        <v>66.518977190687664</v>
      </c>
      <c r="C111" s="204">
        <f>'Input data'!C131</f>
        <v>5388.2194214943684</v>
      </c>
      <c r="D111" s="205">
        <f>'Input data'!D131</f>
        <v>41478479.110071354</v>
      </c>
      <c r="E111" s="579">
        <f t="shared" si="29"/>
        <v>0.8357939393939392</v>
      </c>
      <c r="F111" s="100">
        <f t="shared" si="30"/>
        <v>0.32254242424242419</v>
      </c>
      <c r="G111" s="474">
        <f>B111*F111*'Input data'!$C$9</f>
        <v>656.68100693696977</v>
      </c>
      <c r="H111" s="473">
        <f>'Input data'!I131</f>
        <v>424.26313389388866</v>
      </c>
      <c r="I111" s="474">
        <f>'Input data'!K131</f>
        <v>28221.549726337245</v>
      </c>
      <c r="J111" s="474">
        <f t="shared" ref="J111:J116" si="87">($J$117-$J$107)/($A$117-$A$107)+J110</f>
        <v>5308.2028273926371</v>
      </c>
      <c r="K111" s="475">
        <f t="shared" si="78"/>
        <v>7806.8719646976406</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10081.589321788208</v>
      </c>
      <c r="AA111" s="475">
        <f t="shared" si="81"/>
        <v>4773.3864943955705</v>
      </c>
      <c r="AB111" s="938">
        <f t="shared" si="42"/>
        <v>0.47347559417832918</v>
      </c>
      <c r="AC111" s="118" t="str">
        <f t="shared" si="43"/>
        <v>Yes</v>
      </c>
      <c r="AD111" s="938">
        <f t="shared" si="44"/>
        <v>0.47347559417832918</v>
      </c>
      <c r="AE111" s="579">
        <f t="shared" si="11"/>
        <v>0.24572749882361522</v>
      </c>
      <c r="AF111" s="475">
        <f t="shared" si="45"/>
        <v>320.01001515907478</v>
      </c>
      <c r="AG111" s="473">
        <f t="shared" si="46"/>
        <v>5308.2028273926371</v>
      </c>
      <c r="AH111" s="474">
        <f t="shared" si="82"/>
        <v>7735.9377653521624</v>
      </c>
      <c r="AI111" s="474">
        <f t="shared" si="83"/>
        <v>6437.6604656145792</v>
      </c>
      <c r="AJ111" s="474">
        <f t="shared" si="12"/>
        <v>1804.937840798731</v>
      </c>
      <c r="AK111" s="474">
        <f t="shared" si="47"/>
        <v>21286.73889915811</v>
      </c>
      <c r="AL111" s="640">
        <f t="shared" si="13"/>
        <v>0</v>
      </c>
      <c r="AM111" s="579">
        <f t="shared" si="48"/>
        <v>0.24936665275687561</v>
      </c>
      <c r="AN111" s="100">
        <f t="shared" si="49"/>
        <v>0.36341582437778286</v>
      </c>
      <c r="AO111" s="100">
        <f t="shared" si="50"/>
        <v>0.30242586692643597</v>
      </c>
      <c r="AP111" s="100">
        <f t="shared" si="51"/>
        <v>8.479165593890553E-2</v>
      </c>
      <c r="AQ111" s="471">
        <f t="shared" si="52"/>
        <v>1</v>
      </c>
      <c r="AR111" s="473">
        <f t="shared" si="14"/>
        <v>953.23668393184289</v>
      </c>
      <c r="AS111" s="474">
        <f t="shared" si="15"/>
        <v>1208.9620006505363</v>
      </c>
      <c r="AT111" s="474">
        <f t="shared" si="16"/>
        <v>407.40686149024856</v>
      </c>
      <c r="AU111" s="474">
        <f t="shared" si="17"/>
        <v>0</v>
      </c>
      <c r="AV111" s="474">
        <f t="shared" si="18"/>
        <v>0</v>
      </c>
      <c r="AW111" s="474">
        <f t="shared" si="19"/>
        <v>0</v>
      </c>
      <c r="AX111" s="474">
        <f t="shared" si="20"/>
        <v>1734.0612435045307</v>
      </c>
      <c r="AY111" s="474">
        <f t="shared" si="21"/>
        <v>250.70571926023757</v>
      </c>
      <c r="AZ111" s="474">
        <f t="shared" si="22"/>
        <v>364.39946881029215</v>
      </c>
      <c r="BA111" s="474">
        <f t="shared" si="23"/>
        <v>320.33606010978809</v>
      </c>
      <c r="BB111" s="474">
        <f t="shared" si="24"/>
        <v>69.09478963515943</v>
      </c>
      <c r="BC111" s="475">
        <f t="shared" si="53"/>
        <v>5308.2028273926362</v>
      </c>
      <c r="BD111" s="647">
        <f t="shared" si="54"/>
        <v>0</v>
      </c>
      <c r="BE111" s="383">
        <f t="shared" si="55"/>
        <v>0.17957804457145587</v>
      </c>
      <c r="BF111" s="383">
        <f t="shared" si="56"/>
        <v>0.22775354295276104</v>
      </c>
      <c r="BG111" s="383">
        <f t="shared" si="57"/>
        <v>7.6750432253238687E-2</v>
      </c>
      <c r="BH111" s="383">
        <f t="shared" si="58"/>
        <v>0</v>
      </c>
      <c r="BI111" s="383">
        <f t="shared" si="59"/>
        <v>0</v>
      </c>
      <c r="BJ111" s="383">
        <f t="shared" si="60"/>
        <v>0</v>
      </c>
      <c r="BK111" s="383">
        <f t="shared" si="61"/>
        <v>0.51591798022254431</v>
      </c>
      <c r="BL111" s="383">
        <f t="shared" si="62"/>
        <v>1</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91.145477887655204</v>
      </c>
      <c r="BW111" s="100">
        <f t="shared" si="65"/>
        <v>0.57769724831666103</v>
      </c>
      <c r="BX111" s="1385">
        <f t="shared" si="25"/>
        <v>41.478479110071355</v>
      </c>
      <c r="BY111" s="473">
        <f t="shared" si="66"/>
        <v>91.145477887655204</v>
      </c>
      <c r="BZ111" s="100">
        <f t="shared" si="67"/>
        <v>0.57769724831666103</v>
      </c>
      <c r="CA111" s="489">
        <f t="shared" si="26"/>
        <v>41.478479110071355</v>
      </c>
      <c r="CB111" s="579">
        <f t="shared" si="27"/>
        <v>0.24572749882361522</v>
      </c>
      <c r="CC111" s="471">
        <f t="shared" si="68"/>
        <v>0.34284240625384033</v>
      </c>
      <c r="CD111" s="100">
        <f t="shared" si="28"/>
        <v>0.24572749882361522</v>
      </c>
      <c r="CE111" s="471">
        <f t="shared" si="69"/>
        <v>0.34284240625384033</v>
      </c>
      <c r="CG111" s="473">
        <f t="shared" si="70"/>
        <v>1460.5301939184926</v>
      </c>
      <c r="CH111" s="474">
        <f t="shared" si="71"/>
        <v>565.33768114222528</v>
      </c>
      <c r="CI111" s="474">
        <f t="shared" si="72"/>
        <v>2338.6688902875799</v>
      </c>
      <c r="CJ111" s="474">
        <f t="shared" si="73"/>
        <v>3326.3605286124075</v>
      </c>
      <c r="CK111" s="474">
        <f t="shared" si="74"/>
        <v>45.040471391456826</v>
      </c>
      <c r="CL111" s="474">
        <f t="shared" si="75"/>
        <v>7735.9377653521615</v>
      </c>
      <c r="CM111" s="576">
        <f t="shared" si="76"/>
        <v>0</v>
      </c>
    </row>
    <row r="112" spans="1:91">
      <c r="A112" s="89">
        <f>'Input data'!A132</f>
        <v>2032</v>
      </c>
      <c r="B112" s="152">
        <f>'Input data'!B132</f>
        <v>67.08666821358311</v>
      </c>
      <c r="C112" s="204">
        <f>'Input data'!C132</f>
        <v>5536.7385220125598</v>
      </c>
      <c r="D112" s="205">
        <f>'Input data'!D132</f>
        <v>41255345.957373768</v>
      </c>
      <c r="E112" s="579">
        <f t="shared" si="29"/>
        <v>0.84443636363636343</v>
      </c>
      <c r="F112" s="100">
        <f t="shared" si="30"/>
        <v>0.32489545454545449</v>
      </c>
      <c r="G112" s="474">
        <f>B112*F112*'Input data'!$C$9</f>
        <v>667.11684340477314</v>
      </c>
      <c r="H112" s="473">
        <f>'Input data'!I132</f>
        <v>424.26313389388866</v>
      </c>
      <c r="I112" s="474">
        <f>'Input data'!K132</f>
        <v>28462.400098794296</v>
      </c>
      <c r="J112" s="474">
        <f t="shared" si="87"/>
        <v>5044.3899138048773</v>
      </c>
      <c r="K112" s="475">
        <f t="shared" si="78"/>
        <v>8182.6124896004212</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10193.516933103228</v>
      </c>
      <c r="AA112" s="475">
        <f t="shared" si="81"/>
        <v>5149.1270192983511</v>
      </c>
      <c r="AB112" s="938">
        <f t="shared" si="42"/>
        <v>0.50513743716623172</v>
      </c>
      <c r="AC112" s="118" t="str">
        <f t="shared" si="43"/>
        <v>Yes</v>
      </c>
      <c r="AD112" s="938">
        <f t="shared" si="44"/>
        <v>0.50513743716623172</v>
      </c>
      <c r="AE112" s="579">
        <f t="shared" si="11"/>
        <v>0.26236415346842734</v>
      </c>
      <c r="AF112" s="475">
        <f t="shared" si="45"/>
        <v>312.95169592195651</v>
      </c>
      <c r="AG112" s="473">
        <f t="shared" si="46"/>
        <v>5044.3899138048773</v>
      </c>
      <c r="AH112" s="474">
        <f t="shared" si="82"/>
        <v>7801.9583599033831</v>
      </c>
      <c r="AI112" s="474">
        <f t="shared" si="83"/>
        <v>6437.6604656145792</v>
      </c>
      <c r="AJ112" s="474">
        <f t="shared" si="12"/>
        <v>1710.8778518716094</v>
      </c>
      <c r="AK112" s="474">
        <f t="shared" si="47"/>
        <v>20994.886591194449</v>
      </c>
      <c r="AL112" s="640">
        <f t="shared" si="13"/>
        <v>0</v>
      </c>
      <c r="AM112" s="579">
        <f t="shared" si="48"/>
        <v>0.24026754761897906</v>
      </c>
      <c r="AN112" s="100">
        <f t="shared" si="49"/>
        <v>0.3716123126464343</v>
      </c>
      <c r="AO112" s="100">
        <f t="shared" si="50"/>
        <v>0.30662992332212097</v>
      </c>
      <c r="AP112" s="100">
        <f t="shared" si="51"/>
        <v>8.1490216412465677E-2</v>
      </c>
      <c r="AQ112" s="471">
        <f t="shared" si="52"/>
        <v>1</v>
      </c>
      <c r="AR112" s="473">
        <f t="shared" si="14"/>
        <v>909.20909451017747</v>
      </c>
      <c r="AS112" s="474">
        <f t="shared" si="15"/>
        <v>1153.123106188893</v>
      </c>
      <c r="AT112" s="474">
        <f t="shared" si="16"/>
        <v>386.17583401971342</v>
      </c>
      <c r="AU112" s="474">
        <f t="shared" si="17"/>
        <v>0</v>
      </c>
      <c r="AV112" s="474">
        <f t="shared" si="18"/>
        <v>0</v>
      </c>
      <c r="AW112" s="474">
        <f t="shared" si="19"/>
        <v>0</v>
      </c>
      <c r="AX112" s="474">
        <f t="shared" si="20"/>
        <v>1643.6948177605789</v>
      </c>
      <c r="AY112" s="474">
        <f t="shared" si="21"/>
        <v>237.64079444978057</v>
      </c>
      <c r="AZ112" s="474">
        <f t="shared" si="22"/>
        <v>345.40966803899391</v>
      </c>
      <c r="BA112" s="474">
        <f t="shared" si="23"/>
        <v>303.64251776954279</v>
      </c>
      <c r="BB112" s="474">
        <f t="shared" si="24"/>
        <v>65.494081067196291</v>
      </c>
      <c r="BC112" s="475">
        <f t="shared" si="53"/>
        <v>5044.3899138048755</v>
      </c>
      <c r="BD112" s="647">
        <f t="shared" si="54"/>
        <v>0</v>
      </c>
      <c r="BE112" s="383">
        <f t="shared" si="55"/>
        <v>0.18024163675808727</v>
      </c>
      <c r="BF112" s="383">
        <f t="shared" si="56"/>
        <v>0.22859515737139297</v>
      </c>
      <c r="BG112" s="383">
        <f t="shared" si="57"/>
        <v>7.6555508320812815E-2</v>
      </c>
      <c r="BH112" s="383">
        <f t="shared" si="58"/>
        <v>0</v>
      </c>
      <c r="BI112" s="383">
        <f t="shared" si="59"/>
        <v>0</v>
      </c>
      <c r="BJ112" s="383">
        <f t="shared" si="60"/>
        <v>0</v>
      </c>
      <c r="BK112" s="383">
        <f t="shared" si="61"/>
        <v>0.51460769754970714</v>
      </c>
      <c r="BL112" s="383">
        <f t="shared" si="62"/>
        <v>1.0000000000000002</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91.392030945032616</v>
      </c>
      <c r="BW112" s="100">
        <f t="shared" si="65"/>
        <v>0.58367631962804156</v>
      </c>
      <c r="BX112" s="1385">
        <f t="shared" si="25"/>
        <v>41.25534595737377</v>
      </c>
      <c r="BY112" s="473">
        <f t="shared" si="66"/>
        <v>91.392030945032616</v>
      </c>
      <c r="BZ112" s="100">
        <f t="shared" si="67"/>
        <v>0.58367631962804156</v>
      </c>
      <c r="CA112" s="489">
        <f t="shared" si="26"/>
        <v>41.25534595737377</v>
      </c>
      <c r="CB112" s="579">
        <f t="shared" si="27"/>
        <v>0.26236415346842734</v>
      </c>
      <c r="CC112" s="471">
        <f t="shared" si="68"/>
        <v>0.34737754235140295</v>
      </c>
      <c r="CD112" s="100">
        <f t="shared" si="28"/>
        <v>0.26236415346842734</v>
      </c>
      <c r="CE112" s="471">
        <f t="shared" si="69"/>
        <v>0.34737754235140295</v>
      </c>
      <c r="CG112" s="473">
        <f t="shared" si="70"/>
        <v>1472.9947553830873</v>
      </c>
      <c r="CH112" s="474">
        <f t="shared" si="71"/>
        <v>570.16242650126708</v>
      </c>
      <c r="CI112" s="474">
        <f t="shared" si="72"/>
        <v>2358.6277259554108</v>
      </c>
      <c r="CJ112" s="474">
        <f t="shared" si="73"/>
        <v>3354.7485930529324</v>
      </c>
      <c r="CK112" s="474">
        <f t="shared" si="74"/>
        <v>45.424859010686319</v>
      </c>
      <c r="CL112" s="474">
        <f t="shared" si="75"/>
        <v>7801.958359903384</v>
      </c>
      <c r="CM112" s="576">
        <f t="shared" si="76"/>
        <v>0</v>
      </c>
    </row>
    <row r="113" spans="1:91">
      <c r="A113" s="89">
        <f>'Input data'!A133</f>
        <v>2033</v>
      </c>
      <c r="B113" s="152">
        <f>'Input data'!B133</f>
        <v>67.659204065895452</v>
      </c>
      <c r="C113" s="204">
        <f>'Input data'!C133</f>
        <v>5692.5826618103829</v>
      </c>
      <c r="D113" s="205">
        <f>'Input data'!D133</f>
        <v>40262688.170007341</v>
      </c>
      <c r="E113" s="579">
        <f t="shared" si="29"/>
        <v>0.85307878787878766</v>
      </c>
      <c r="F113" s="100">
        <f t="shared" si="30"/>
        <v>0.32724848484848479</v>
      </c>
      <c r="G113" s="474">
        <f>B113*F113*'Input data'!$C$9</f>
        <v>677.68297583118044</v>
      </c>
      <c r="H113" s="473">
        <f>'Input data'!I133</f>
        <v>424.26313389388866</v>
      </c>
      <c r="I113" s="474">
        <f>'Input data'!K133</f>
        <v>28705.305953762938</v>
      </c>
      <c r="J113" s="474">
        <f t="shared" si="87"/>
        <v>4780.5770002171175</v>
      </c>
      <c r="K113" s="475">
        <f t="shared" si="78"/>
        <v>8559.3082351461071</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10306.399765061155</v>
      </c>
      <c r="AA113" s="475">
        <f t="shared" si="81"/>
        <v>5525.822764844037</v>
      </c>
      <c r="AB113" s="938">
        <f t="shared" si="42"/>
        <v>0.53615451474885112</v>
      </c>
      <c r="AC113" s="118" t="str">
        <f t="shared" si="43"/>
        <v>Yes</v>
      </c>
      <c r="AD113" s="938">
        <f t="shared" si="44"/>
        <v>0.53615451474885112</v>
      </c>
      <c r="AE113" s="579">
        <f t="shared" si="11"/>
        <v>0.27873582031809607</v>
      </c>
      <c r="AF113" s="475">
        <f t="shared" si="45"/>
        <v>306.00580123724939</v>
      </c>
      <c r="AG113" s="473">
        <f t="shared" si="46"/>
        <v>4780.5770002171175</v>
      </c>
      <c r="AH113" s="474">
        <f t="shared" si="82"/>
        <v>7868.5423921446545</v>
      </c>
      <c r="AI113" s="474">
        <f t="shared" si="83"/>
        <v>6437.6604656145792</v>
      </c>
      <c r="AJ113" s="474">
        <f t="shared" si="12"/>
        <v>1617.3290932825464</v>
      </c>
      <c r="AK113" s="474">
        <f t="shared" si="47"/>
        <v>20704.108951258899</v>
      </c>
      <c r="AL113" s="640">
        <f t="shared" si="13"/>
        <v>0</v>
      </c>
      <c r="AM113" s="579">
        <f t="shared" si="48"/>
        <v>0.23089991515555844</v>
      </c>
      <c r="AN113" s="100">
        <f t="shared" si="49"/>
        <v>0.38004738144822281</v>
      </c>
      <c r="AO113" s="100">
        <f t="shared" si="50"/>
        <v>0.31093636923810442</v>
      </c>
      <c r="AP113" s="100">
        <f t="shared" si="51"/>
        <v>7.8116334158114337E-2</v>
      </c>
      <c r="AQ113" s="471">
        <f t="shared" si="52"/>
        <v>1</v>
      </c>
      <c r="AR113" s="473">
        <f t="shared" si="14"/>
        <v>864.78866228035815</v>
      </c>
      <c r="AS113" s="474">
        <f t="shared" si="15"/>
        <v>1096.7859807681471</v>
      </c>
      <c r="AT113" s="474">
        <f t="shared" si="16"/>
        <v>365.06020041085003</v>
      </c>
      <c r="AU113" s="474">
        <f t="shared" si="17"/>
        <v>0</v>
      </c>
      <c r="AV113" s="474">
        <f t="shared" si="18"/>
        <v>0</v>
      </c>
      <c r="AW113" s="474">
        <f t="shared" si="19"/>
        <v>0</v>
      </c>
      <c r="AX113" s="474">
        <f t="shared" si="20"/>
        <v>1553.8195472773198</v>
      </c>
      <c r="AY113" s="474">
        <f t="shared" si="21"/>
        <v>224.64687949169274</v>
      </c>
      <c r="AZ113" s="474">
        <f t="shared" si="22"/>
        <v>326.52307972156382</v>
      </c>
      <c r="BA113" s="474">
        <f t="shared" si="23"/>
        <v>287.03970736953426</v>
      </c>
      <c r="BB113" s="474">
        <f t="shared" si="24"/>
        <v>61.912942897650645</v>
      </c>
      <c r="BC113" s="475">
        <f t="shared" si="53"/>
        <v>4780.5770002171157</v>
      </c>
      <c r="BD113" s="647">
        <f t="shared" si="54"/>
        <v>0</v>
      </c>
      <c r="BE113" s="383">
        <f t="shared" si="55"/>
        <v>0.18089629394968071</v>
      </c>
      <c r="BF113" s="383">
        <f t="shared" si="56"/>
        <v>0.22942543979907346</v>
      </c>
      <c r="BG113" s="383">
        <f t="shared" si="57"/>
        <v>7.6363208958724102E-2</v>
      </c>
      <c r="BH113" s="383">
        <f t="shared" si="58"/>
        <v>0</v>
      </c>
      <c r="BI113" s="383">
        <f t="shared" si="59"/>
        <v>0</v>
      </c>
      <c r="BJ113" s="383">
        <f t="shared" si="60"/>
        <v>0</v>
      </c>
      <c r="BK113" s="383">
        <f t="shared" si="61"/>
        <v>0.51331505729252191</v>
      </c>
      <c r="BL113" s="383">
        <f t="shared" si="62"/>
        <v>1.0000000000000002</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90.907693511541268</v>
      </c>
      <c r="BW113" s="100">
        <f t="shared" si="65"/>
        <v>0.59309574242440988</v>
      </c>
      <c r="BX113" s="1385">
        <f t="shared" si="25"/>
        <v>40.262688170007344</v>
      </c>
      <c r="BY113" s="473">
        <f t="shared" si="66"/>
        <v>90.907693511541268</v>
      </c>
      <c r="BZ113" s="100">
        <f t="shared" si="67"/>
        <v>0.59309574242440988</v>
      </c>
      <c r="CA113" s="489">
        <f t="shared" si="26"/>
        <v>40.262688170007344</v>
      </c>
      <c r="CB113" s="579">
        <f t="shared" si="27"/>
        <v>0.27873582031809607</v>
      </c>
      <c r="CC113" s="471">
        <f t="shared" si="68"/>
        <v>0.35445223039388429</v>
      </c>
      <c r="CD113" s="100">
        <f t="shared" si="28"/>
        <v>0.27873582031809607</v>
      </c>
      <c r="CE113" s="471">
        <f t="shared" si="69"/>
        <v>0.35445223039388429</v>
      </c>
      <c r="CG113" s="473">
        <f t="shared" si="70"/>
        <v>1485.5656928015312</v>
      </c>
      <c r="CH113" s="474">
        <f t="shared" si="71"/>
        <v>575.02834754796584</v>
      </c>
      <c r="CI113" s="474">
        <f t="shared" si="72"/>
        <v>2378.756895749149</v>
      </c>
      <c r="CJ113" s="474">
        <f t="shared" si="73"/>
        <v>3383.3789289477218</v>
      </c>
      <c r="CK113" s="474">
        <f t="shared" si="74"/>
        <v>45.81252709828685</v>
      </c>
      <c r="CL113" s="474">
        <f t="shared" si="75"/>
        <v>7868.5423921446545</v>
      </c>
      <c r="CM113" s="576">
        <f t="shared" si="76"/>
        <v>0</v>
      </c>
    </row>
    <row r="114" spans="1:91">
      <c r="A114" s="89">
        <f>'Input data'!A134</f>
        <v>2034</v>
      </c>
      <c r="B114" s="152">
        <f>'Input data'!B134</f>
        <v>68.236626094715163</v>
      </c>
      <c r="C114" s="204">
        <f>'Input data'!C134</f>
        <v>5868.7539844737303</v>
      </c>
      <c r="D114" s="205">
        <f>'Input data'!D134</f>
        <v>39656259.723391399</v>
      </c>
      <c r="E114" s="579">
        <f t="shared" si="29"/>
        <v>0.86172121212121189</v>
      </c>
      <c r="F114" s="100">
        <f t="shared" si="30"/>
        <v>0.32960151515151509</v>
      </c>
      <c r="G114" s="474">
        <f>B114*F114*'Input data'!$C$9</f>
        <v>688.38086809685626</v>
      </c>
      <c r="H114" s="473">
        <f>'Input data'!I134</f>
        <v>424.26313389388866</v>
      </c>
      <c r="I114" s="474">
        <f>'Input data'!K134</f>
        <v>28950.284833289355</v>
      </c>
      <c r="J114" s="474">
        <f t="shared" si="87"/>
        <v>4516.7640866293577</v>
      </c>
      <c r="K114" s="475">
        <f t="shared" si="78"/>
        <v>8936.9673534471767</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10420.245969774463</v>
      </c>
      <c r="AA114" s="475">
        <f t="shared" si="81"/>
        <v>5903.4818831451057</v>
      </c>
      <c r="AB114" s="938">
        <f t="shared" si="42"/>
        <v>0.56653959035795021</v>
      </c>
      <c r="AC114" s="118" t="str">
        <f t="shared" si="43"/>
        <v>Yes</v>
      </c>
      <c r="AD114" s="938">
        <f t="shared" si="44"/>
        <v>0.56653959035795021</v>
      </c>
      <c r="AE114" s="579">
        <f t="shared" si="11"/>
        <v>0.29484629303664733</v>
      </c>
      <c r="AF114" s="475">
        <f t="shared" si="45"/>
        <v>299.17072159316484</v>
      </c>
      <c r="AG114" s="473">
        <f t="shared" si="46"/>
        <v>4516.7640866293577</v>
      </c>
      <c r="AH114" s="474">
        <f t="shared" si="82"/>
        <v>7935.6946706062963</v>
      </c>
      <c r="AI114" s="474">
        <f t="shared" si="83"/>
        <v>6437.6604656145792</v>
      </c>
      <c r="AJ114" s="474">
        <f t="shared" si="12"/>
        <v>1524.2814449886839</v>
      </c>
      <c r="AK114" s="474">
        <f t="shared" si="47"/>
        <v>20414.400667838916</v>
      </c>
      <c r="AL114" s="640">
        <f t="shared" si="13"/>
        <v>0</v>
      </c>
      <c r="AM114" s="579">
        <f t="shared" si="48"/>
        <v>0.22125381783777373</v>
      </c>
      <c r="AN114" s="100">
        <f t="shared" si="49"/>
        <v>0.38873023018051578</v>
      </c>
      <c r="AO114" s="100">
        <f t="shared" si="50"/>
        <v>0.3153489818467482</v>
      </c>
      <c r="AP114" s="100">
        <f t="shared" si="51"/>
        <v>7.466697013496236E-2</v>
      </c>
      <c r="AQ114" s="471">
        <f t="shared" si="52"/>
        <v>1</v>
      </c>
      <c r="AR114" s="473">
        <f t="shared" si="14"/>
        <v>819.98316374890089</v>
      </c>
      <c r="AS114" s="474">
        <f t="shared" si="15"/>
        <v>1039.9604871023907</v>
      </c>
      <c r="AT114" s="474">
        <f t="shared" si="16"/>
        <v>344.05767638837415</v>
      </c>
      <c r="AU114" s="474">
        <f t="shared" si="17"/>
        <v>0</v>
      </c>
      <c r="AV114" s="474">
        <f t="shared" si="18"/>
        <v>0</v>
      </c>
      <c r="AW114" s="474">
        <f t="shared" si="19"/>
        <v>0</v>
      </c>
      <c r="AX114" s="474">
        <f t="shared" si="20"/>
        <v>1464.4257094074096</v>
      </c>
      <c r="AY114" s="474">
        <f t="shared" si="21"/>
        <v>211.72256871284435</v>
      </c>
      <c r="AZ114" s="474">
        <f t="shared" si="22"/>
        <v>307.73766071936387</v>
      </c>
      <c r="BA114" s="474">
        <f t="shared" si="23"/>
        <v>270.52583282870961</v>
      </c>
      <c r="BB114" s="474">
        <f t="shared" si="24"/>
        <v>58.35098772136287</v>
      </c>
      <c r="BC114" s="475">
        <f t="shared" si="53"/>
        <v>4516.7640866293568</v>
      </c>
      <c r="BD114" s="647">
        <f t="shared" si="54"/>
        <v>0</v>
      </c>
      <c r="BE114" s="383">
        <f t="shared" si="55"/>
        <v>0.18154217223260266</v>
      </c>
      <c r="BF114" s="383">
        <f t="shared" si="56"/>
        <v>0.23024458819554225</v>
      </c>
      <c r="BG114" s="383">
        <f t="shared" si="57"/>
        <v>7.6173488318077687E-2</v>
      </c>
      <c r="BH114" s="383">
        <f t="shared" si="58"/>
        <v>0</v>
      </c>
      <c r="BI114" s="383">
        <f t="shared" si="59"/>
        <v>0</v>
      </c>
      <c r="BJ114" s="383">
        <f t="shared" si="60"/>
        <v>0</v>
      </c>
      <c r="BK114" s="383">
        <f t="shared" si="61"/>
        <v>0.51203975125377732</v>
      </c>
      <c r="BL114" s="383">
        <f t="shared" si="62"/>
        <v>0.99999999999999989</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90.914883340270251</v>
      </c>
      <c r="BW114" s="100">
        <f t="shared" si="65"/>
        <v>0.60136590914713994</v>
      </c>
      <c r="BX114" s="1385">
        <f t="shared" si="25"/>
        <v>39.6562597233914</v>
      </c>
      <c r="BY114" s="473">
        <f t="shared" si="66"/>
        <v>90.914883340270251</v>
      </c>
      <c r="BZ114" s="100">
        <f t="shared" si="67"/>
        <v>0.60136590914713994</v>
      </c>
      <c r="CA114" s="489">
        <f t="shared" si="26"/>
        <v>39.6562597233914</v>
      </c>
      <c r="CB114" s="579">
        <f t="shared" si="27"/>
        <v>0.29484629303664733</v>
      </c>
      <c r="CC114" s="471">
        <f t="shared" si="68"/>
        <v>0.36061817011653774</v>
      </c>
      <c r="CD114" s="100">
        <f t="shared" si="28"/>
        <v>0.29484629303664733</v>
      </c>
      <c r="CE114" s="471">
        <f t="shared" si="69"/>
        <v>0.36061817011653774</v>
      </c>
      <c r="CG114" s="473">
        <f t="shared" si="70"/>
        <v>1498.2439140151146</v>
      </c>
      <c r="CH114" s="474">
        <f t="shared" si="71"/>
        <v>579.93579568682685</v>
      </c>
      <c r="CI114" s="474">
        <f t="shared" si="72"/>
        <v>2399.0578533465009</v>
      </c>
      <c r="CJ114" s="474">
        <f t="shared" si="73"/>
        <v>3412.2536039071865</v>
      </c>
      <c r="CK114" s="474">
        <f t="shared" si="74"/>
        <v>46.203503650666732</v>
      </c>
      <c r="CL114" s="474">
        <f t="shared" si="75"/>
        <v>7935.6946706062954</v>
      </c>
      <c r="CM114" s="576">
        <f t="shared" si="76"/>
        <v>0</v>
      </c>
    </row>
    <row r="115" spans="1:91">
      <c r="A115" s="89">
        <f>'Input data'!A135</f>
        <v>2035</v>
      </c>
      <c r="B115" s="152">
        <f>'Input data'!B135</f>
        <v>68.818976000000006</v>
      </c>
      <c r="C115" s="204">
        <f>'Input data'!C135</f>
        <v>6036.7474148806386</v>
      </c>
      <c r="D115" s="205">
        <f>'Input data'!D135</f>
        <v>39791303.809178911</v>
      </c>
      <c r="E115" s="579">
        <f t="shared" si="29"/>
        <v>0.87036363636363612</v>
      </c>
      <c r="F115" s="100">
        <f t="shared" si="30"/>
        <v>0.33195454545454539</v>
      </c>
      <c r="G115" s="474">
        <f>B115*F115*'Input data'!$C$9</f>
        <v>699.21199957882664</v>
      </c>
      <c r="H115" s="473">
        <f>'Input data'!I135</f>
        <v>424.26313389388866</v>
      </c>
      <c r="I115" s="474">
        <f>'Input data'!K135</f>
        <v>29197.354429128314</v>
      </c>
      <c r="J115" s="474">
        <f t="shared" si="87"/>
        <v>4252.9511730415979</v>
      </c>
      <c r="K115" s="475">
        <f t="shared" si="78"/>
        <v>9315.5980661884496</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10535.063768927977</v>
      </c>
      <c r="AA115" s="475">
        <f t="shared" si="81"/>
        <v>6282.1125958863795</v>
      </c>
      <c r="AB115" s="938">
        <f t="shared" si="42"/>
        <v>0.59630513242974248</v>
      </c>
      <c r="AC115" s="118" t="str">
        <f t="shared" si="43"/>
        <v>Yes</v>
      </c>
      <c r="AD115" s="938">
        <f t="shared" si="44"/>
        <v>0.59630513242974248</v>
      </c>
      <c r="AE115" s="579">
        <f t="shared" si="11"/>
        <v>0.31069930485615582</v>
      </c>
      <c r="AF115" s="475">
        <f t="shared" si="45"/>
        <v>292.44487311696332</v>
      </c>
      <c r="AG115" s="473">
        <f t="shared" si="46"/>
        <v>4252.9511730415979</v>
      </c>
      <c r="AH115" s="474">
        <f t="shared" si="82"/>
        <v>8003.4200448559322</v>
      </c>
      <c r="AI115" s="474">
        <f t="shared" si="83"/>
        <v>6437.6604656145792</v>
      </c>
      <c r="AJ115" s="474">
        <f t="shared" si="12"/>
        <v>1431.7250208472356</v>
      </c>
      <c r="AK115" s="474">
        <f t="shared" si="47"/>
        <v>20125.756704359344</v>
      </c>
      <c r="AL115" s="640">
        <f t="shared" si="13"/>
        <v>0</v>
      </c>
      <c r="AM115" s="579">
        <f t="shared" si="48"/>
        <v>0.21131882072888153</v>
      </c>
      <c r="AN115" s="100">
        <f t="shared" si="49"/>
        <v>0.39767051556984934</v>
      </c>
      <c r="AO115" s="100">
        <f t="shared" si="50"/>
        <v>0.3198717225981445</v>
      </c>
      <c r="AP115" s="100">
        <f t="shared" si="51"/>
        <v>7.1138941103124659E-2</v>
      </c>
      <c r="AQ115" s="471">
        <f t="shared" si="52"/>
        <v>1</v>
      </c>
      <c r="AR115" s="473">
        <f t="shared" si="14"/>
        <v>774.80019568736827</v>
      </c>
      <c r="AS115" s="474">
        <f t="shared" si="15"/>
        <v>982.65625995317077</v>
      </c>
      <c r="AT115" s="474">
        <f t="shared" si="16"/>
        <v>323.16603047244564</v>
      </c>
      <c r="AU115" s="474">
        <f t="shared" si="17"/>
        <v>0</v>
      </c>
      <c r="AV115" s="474">
        <f t="shared" si="18"/>
        <v>0</v>
      </c>
      <c r="AW115" s="474">
        <f t="shared" si="19"/>
        <v>0</v>
      </c>
      <c r="AX115" s="474">
        <f t="shared" si="20"/>
        <v>1375.5038062187505</v>
      </c>
      <c r="AY115" s="474">
        <f t="shared" si="21"/>
        <v>198.86648892880652</v>
      </c>
      <c r="AZ115" s="474">
        <f t="shared" si="22"/>
        <v>289.05141511591495</v>
      </c>
      <c r="BA115" s="474">
        <f t="shared" si="23"/>
        <v>254.09913957804258</v>
      </c>
      <c r="BB115" s="474">
        <f t="shared" si="24"/>
        <v>54.80783708709729</v>
      </c>
      <c r="BC115" s="475">
        <f t="shared" si="53"/>
        <v>4252.9511730415961</v>
      </c>
      <c r="BD115" s="647">
        <f t="shared" si="54"/>
        <v>0</v>
      </c>
      <c r="BE115" s="383">
        <f t="shared" si="55"/>
        <v>0.18217942416048291</v>
      </c>
      <c r="BF115" s="383">
        <f t="shared" si="56"/>
        <v>0.23105279604007339</v>
      </c>
      <c r="BG115" s="383">
        <f t="shared" si="57"/>
        <v>7.5986301587686933E-2</v>
      </c>
      <c r="BH115" s="383">
        <f t="shared" si="58"/>
        <v>0</v>
      </c>
      <c r="BI115" s="383">
        <f t="shared" si="59"/>
        <v>0</v>
      </c>
      <c r="BJ115" s="383">
        <f t="shared" si="60"/>
        <v>0</v>
      </c>
      <c r="BK115" s="383">
        <f t="shared" si="61"/>
        <v>0.51078147821175679</v>
      </c>
      <c r="BL115" s="383">
        <f t="shared" si="62"/>
        <v>1</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91.622677502711355</v>
      </c>
      <c r="BW115" s="100">
        <f t="shared" si="65"/>
        <v>0.60614560495334957</v>
      </c>
      <c r="BX115" s="1385">
        <f t="shared" si="25"/>
        <v>39.791303809178913</v>
      </c>
      <c r="BY115" s="473">
        <f t="shared" si="66"/>
        <v>91.622677502711355</v>
      </c>
      <c r="BZ115" s="100">
        <f t="shared" si="67"/>
        <v>0.60614560495334957</v>
      </c>
      <c r="CA115" s="489">
        <f t="shared" si="26"/>
        <v>39.791303809178913</v>
      </c>
      <c r="CB115" s="579">
        <f t="shared" si="27"/>
        <v>0.31069930485615582</v>
      </c>
      <c r="CC115" s="471">
        <f t="shared" si="68"/>
        <v>0.36401779390258671</v>
      </c>
      <c r="CD115" s="100">
        <f t="shared" si="28"/>
        <v>0.31069930485615582</v>
      </c>
      <c r="CE115" s="471">
        <f t="shared" si="69"/>
        <v>0.36401779390258671</v>
      </c>
      <c r="CG115" s="473">
        <f t="shared" si="70"/>
        <v>1511.0303346128921</v>
      </c>
      <c r="CH115" s="474">
        <f t="shared" si="71"/>
        <v>584.88512532133632</v>
      </c>
      <c r="CI115" s="474">
        <f t="shared" si="72"/>
        <v>2419.532064831254</v>
      </c>
      <c r="CJ115" s="474">
        <f t="shared" si="73"/>
        <v>3441.3747031872863</v>
      </c>
      <c r="CK115" s="474">
        <f t="shared" si="74"/>
        <v>46.597816903163221</v>
      </c>
      <c r="CL115" s="474">
        <f t="shared" si="75"/>
        <v>8003.4200448559322</v>
      </c>
      <c r="CM115" s="576">
        <f t="shared" si="76"/>
        <v>0</v>
      </c>
    </row>
    <row r="116" spans="1:91">
      <c r="A116" s="89">
        <f>'Input data'!A136</f>
        <v>2036</v>
      </c>
      <c r="B116" s="152">
        <f>'Input data'!B136</f>
        <v>69.322810489383542</v>
      </c>
      <c r="C116" s="204">
        <f>'Input data'!C136</f>
        <v>6215.8972497914319</v>
      </c>
      <c r="D116" s="205">
        <f>'Input data'!D136</f>
        <v>39216082.697226301</v>
      </c>
      <c r="E116" s="579">
        <f t="shared" si="29"/>
        <v>0.87900606060606035</v>
      </c>
      <c r="F116" s="100">
        <f t="shared" si="30"/>
        <v>0.33430757575757569</v>
      </c>
      <c r="G116" s="474">
        <f>B116*F116*'Input data'!$C$9</f>
        <v>709.32362801394981</v>
      </c>
      <c r="H116" s="473">
        <f>'Input data'!I136</f>
        <v>424.26313389388866</v>
      </c>
      <c r="I116" s="474">
        <f>'Input data'!K136</f>
        <v>29411.112828557998</v>
      </c>
      <c r="J116" s="474">
        <f t="shared" si="87"/>
        <v>3989.1382594538386</v>
      </c>
      <c r="K116" s="475">
        <f t="shared" si="78"/>
        <v>9678.7484514297066</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10634.401240581476</v>
      </c>
      <c r="AA116" s="475">
        <f t="shared" si="81"/>
        <v>6645.2629811276365</v>
      </c>
      <c r="AB116" s="938">
        <f t="shared" si="42"/>
        <v>0.62488360470817461</v>
      </c>
      <c r="AC116" s="118" t="str">
        <f t="shared" si="43"/>
        <v>Yes</v>
      </c>
      <c r="AD116" s="938">
        <f t="shared" si="44"/>
        <v>0.62488360470817461</v>
      </c>
      <c r="AE116" s="579">
        <f t="shared" si="11"/>
        <v>0.32580167937132221</v>
      </c>
      <c r="AF116" s="475">
        <f t="shared" si="45"/>
        <v>286.03749237591961</v>
      </c>
      <c r="AG116" s="473">
        <f t="shared" si="46"/>
        <v>3989.1382594538386</v>
      </c>
      <c r="AH116" s="474">
        <f t="shared" si="82"/>
        <v>8062.0143350648113</v>
      </c>
      <c r="AI116" s="474">
        <f t="shared" si="83"/>
        <v>6437.6604656145792</v>
      </c>
      <c r="AJ116" s="474">
        <f t="shared" si="12"/>
        <v>1340.1098167011321</v>
      </c>
      <c r="AK116" s="474">
        <f t="shared" si="47"/>
        <v>19828.922876834364</v>
      </c>
      <c r="AL116" s="640">
        <f t="shared" si="13"/>
        <v>0</v>
      </c>
      <c r="AM116" s="579">
        <f t="shared" si="48"/>
        <v>0.20117775858184658</v>
      </c>
      <c r="AN116" s="100">
        <f t="shared" si="49"/>
        <v>0.40657853102467112</v>
      </c>
      <c r="AO116" s="100">
        <f t="shared" si="50"/>
        <v>0.32466011924104748</v>
      </c>
      <c r="AP116" s="100">
        <f t="shared" si="51"/>
        <v>6.7583591152434661E-2</v>
      </c>
      <c r="AQ116" s="471">
        <f t="shared" si="52"/>
        <v>0.99999999999999989</v>
      </c>
      <c r="AR116" s="473">
        <f t="shared" si="14"/>
        <v>728.89396948066099</v>
      </c>
      <c r="AS116" s="474">
        <f t="shared" si="15"/>
        <v>924.43474580805946</v>
      </c>
      <c r="AT116" s="474">
        <f t="shared" si="16"/>
        <v>302.48683480029143</v>
      </c>
      <c r="AU116" s="474">
        <f t="shared" si="17"/>
        <v>0</v>
      </c>
      <c r="AV116" s="474">
        <f t="shared" si="18"/>
        <v>0</v>
      </c>
      <c r="AW116" s="474">
        <f t="shared" si="19"/>
        <v>0</v>
      </c>
      <c r="AX116" s="474">
        <f t="shared" si="20"/>
        <v>1287.4861630431762</v>
      </c>
      <c r="AY116" s="474">
        <f t="shared" si="21"/>
        <v>186.14114452555648</v>
      </c>
      <c r="AZ116" s="474">
        <f t="shared" si="22"/>
        <v>270.55519271358941</v>
      </c>
      <c r="BA116" s="474">
        <f t="shared" si="23"/>
        <v>237.83949180572398</v>
      </c>
      <c r="BB116" s="474">
        <f t="shared" si="24"/>
        <v>51.300717276779636</v>
      </c>
      <c r="BC116" s="475">
        <f t="shared" si="53"/>
        <v>3989.1382594538381</v>
      </c>
      <c r="BD116" s="647">
        <f t="shared" si="54"/>
        <v>0</v>
      </c>
      <c r="BE116" s="383">
        <f t="shared" si="55"/>
        <v>0.18271965574350774</v>
      </c>
      <c r="BF116" s="383">
        <f t="shared" si="56"/>
        <v>0.23173795583977225</v>
      </c>
      <c r="BG116" s="383">
        <f t="shared" si="57"/>
        <v>7.5827613666543003E-2</v>
      </c>
      <c r="BH116" s="383">
        <f t="shared" si="58"/>
        <v>0</v>
      </c>
      <c r="BI116" s="383">
        <f t="shared" si="59"/>
        <v>0</v>
      </c>
      <c r="BJ116" s="383">
        <f t="shared" si="60"/>
        <v>0</v>
      </c>
      <c r="BK116" s="383">
        <f t="shared" si="61"/>
        <v>0.5097147747501769</v>
      </c>
      <c r="BL116" s="383">
        <f t="shared" si="62"/>
        <v>0.99999999999999989</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91.669221580523981</v>
      </c>
      <c r="BW116" s="100">
        <f t="shared" si="65"/>
        <v>0.61424343080984689</v>
      </c>
      <c r="BX116" s="1385">
        <f t="shared" si="25"/>
        <v>39.216082697226298</v>
      </c>
      <c r="BY116" s="473">
        <f t="shared" si="66"/>
        <v>91.669221580523981</v>
      </c>
      <c r="BZ116" s="100">
        <f t="shared" si="67"/>
        <v>0.61424343080984689</v>
      </c>
      <c r="CA116" s="489">
        <f t="shared" si="26"/>
        <v>39.216082697226298</v>
      </c>
      <c r="CB116" s="579">
        <f t="shared" si="27"/>
        <v>0.32580167937132221</v>
      </c>
      <c r="CC116" s="471">
        <f t="shared" si="68"/>
        <v>0.3698209800126665</v>
      </c>
      <c r="CD116" s="100">
        <f t="shared" si="28"/>
        <v>0.32580167937132221</v>
      </c>
      <c r="CE116" s="471">
        <f t="shared" si="69"/>
        <v>0.3698209800126665</v>
      </c>
      <c r="CG116" s="473">
        <f t="shared" si="70"/>
        <v>1522.0928240792091</v>
      </c>
      <c r="CH116" s="474">
        <f t="shared" si="71"/>
        <v>589.16716082364167</v>
      </c>
      <c r="CI116" s="474">
        <f t="shared" si="72"/>
        <v>2437.2458375911297</v>
      </c>
      <c r="CJ116" s="474">
        <f t="shared" si="73"/>
        <v>3466.5695457603251</v>
      </c>
      <c r="CK116" s="474">
        <f t="shared" si="74"/>
        <v>46.938966810505526</v>
      </c>
      <c r="CL116" s="474">
        <f t="shared" si="75"/>
        <v>8062.0143350648113</v>
      </c>
      <c r="CM116" s="576">
        <f t="shared" si="76"/>
        <v>0</v>
      </c>
    </row>
    <row r="117" spans="1:91" s="1" customFormat="1">
      <c r="A117" s="89">
        <f>'Input data'!A137</f>
        <v>2037</v>
      </c>
      <c r="B117" s="152">
        <f>'Input data'!B137</f>
        <v>69.830333629884052</v>
      </c>
      <c r="C117" s="204">
        <f>'Input data'!C137</f>
        <v>6413.8831516087803</v>
      </c>
      <c r="D117" s="205">
        <f>'Input data'!D137</f>
        <v>38325122.85038393</v>
      </c>
      <c r="E117" s="579">
        <f t="shared" si="29"/>
        <v>0.88764848484848458</v>
      </c>
      <c r="F117" s="100">
        <f t="shared" si="30"/>
        <v>0.33666060606060599</v>
      </c>
      <c r="G117" s="474">
        <f>B117*F117*'Input data'!$C$9</f>
        <v>719.54583678051574</v>
      </c>
      <c r="H117" s="473">
        <f>'Input data'!I137</f>
        <v>424.26313389388866</v>
      </c>
      <c r="I117" s="474">
        <f>'Input data'!K137</f>
        <v>29626.436186670413</v>
      </c>
      <c r="J117" s="474">
        <f>J97*(1-$C$5)</f>
        <v>3900.4110186862777</v>
      </c>
      <c r="K117" s="475">
        <f t="shared" si="78"/>
        <v>9867.5404290211609</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10734.465977405369</v>
      </c>
      <c r="AA117" s="475">
        <f t="shared" si="81"/>
        <v>6834.0549587190908</v>
      </c>
      <c r="AB117" s="938">
        <f t="shared" si="42"/>
        <v>0.63664601230316187</v>
      </c>
      <c r="AC117" s="118" t="str">
        <f t="shared" si="43"/>
        <v>Yes</v>
      </c>
      <c r="AD117" s="938">
        <f t="shared" si="44"/>
        <v>0.63664601230316187</v>
      </c>
      <c r="AE117" s="579">
        <f t="shared" si="11"/>
        <v>0.33280193124638935</v>
      </c>
      <c r="AF117" s="475">
        <f t="shared" si="45"/>
        <v>283.06754357735701</v>
      </c>
      <c r="AG117" s="473">
        <f t="shared" si="46"/>
        <v>3900.4110186862777</v>
      </c>
      <c r="AH117" s="474">
        <f t="shared" si="82"/>
        <v>8121.0376032388403</v>
      </c>
      <c r="AI117" s="474">
        <f t="shared" si="83"/>
        <v>6437.6604656145792</v>
      </c>
      <c r="AJ117" s="474">
        <f t="shared" si="12"/>
        <v>1307.5919202588843</v>
      </c>
      <c r="AK117" s="474">
        <f t="shared" si="47"/>
        <v>19766.701007798583</v>
      </c>
      <c r="AL117" s="640">
        <f t="shared" si="13"/>
        <v>0</v>
      </c>
      <c r="AM117" s="579">
        <f t="shared" si="48"/>
        <v>0.19732230568709686</v>
      </c>
      <c r="AN117" s="100">
        <f t="shared" si="49"/>
        <v>0.41084435890616428</v>
      </c>
      <c r="AO117" s="100">
        <f t="shared" si="50"/>
        <v>0.32568208843118129</v>
      </c>
      <c r="AP117" s="100">
        <f t="shared" si="51"/>
        <v>6.6151246975557451E-2</v>
      </c>
      <c r="AQ117" s="471">
        <f t="shared" si="52"/>
        <v>0.99999999999999978</v>
      </c>
      <c r="AR117" s="473">
        <f t="shared" si="14"/>
        <v>714.76488212602555</v>
      </c>
      <c r="AS117" s="474">
        <f t="shared" si="15"/>
        <v>906.51524060692793</v>
      </c>
      <c r="AT117" s="474">
        <f t="shared" si="16"/>
        <v>295.14696201778139</v>
      </c>
      <c r="AU117" s="474">
        <f t="shared" si="17"/>
        <v>0</v>
      </c>
      <c r="AV117" s="474">
        <f t="shared" si="18"/>
        <v>0</v>
      </c>
      <c r="AW117" s="474">
        <f t="shared" si="19"/>
        <v>0</v>
      </c>
      <c r="AX117" s="474">
        <f t="shared" si="20"/>
        <v>1256.2451847301268</v>
      </c>
      <c r="AY117" s="474">
        <f t="shared" si="21"/>
        <v>181.62441135496931</v>
      </c>
      <c r="AZ117" s="474">
        <f t="shared" si="22"/>
        <v>263.9901443653651</v>
      </c>
      <c r="BA117" s="474">
        <f t="shared" si="23"/>
        <v>232.06829315615823</v>
      </c>
      <c r="BB117" s="474">
        <f t="shared" si="24"/>
        <v>50.055900328922448</v>
      </c>
      <c r="BC117" s="475">
        <f t="shared" si="53"/>
        <v>3900.4110186862763</v>
      </c>
      <c r="BD117" s="647">
        <f t="shared" si="54"/>
        <v>0</v>
      </c>
      <c r="BE117" s="383">
        <f t="shared" si="55"/>
        <v>0.18325373369670417</v>
      </c>
      <c r="BF117" s="383">
        <f t="shared" si="56"/>
        <v>0.23241531117206654</v>
      </c>
      <c r="BG117" s="383">
        <f t="shared" si="57"/>
        <v>7.5670733315995969E-2</v>
      </c>
      <c r="BH117" s="383">
        <f t="shared" si="58"/>
        <v>0</v>
      </c>
      <c r="BI117" s="383">
        <f t="shared" si="59"/>
        <v>0</v>
      </c>
      <c r="BJ117" s="383">
        <f t="shared" si="60"/>
        <v>0</v>
      </c>
      <c r="BK117" s="383">
        <f t="shared" si="61"/>
        <v>0.5086602218152334</v>
      </c>
      <c r="BL117" s="383">
        <f t="shared" si="62"/>
        <v>1</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91.731221681236903</v>
      </c>
      <c r="BW117" s="100">
        <f t="shared" si="65"/>
        <v>0.62324158922585704</v>
      </c>
      <c r="BX117" s="1385">
        <f t="shared" si="25"/>
        <v>38.325122850383927</v>
      </c>
      <c r="BY117" s="473">
        <f t="shared" si="66"/>
        <v>91.731221681236903</v>
      </c>
      <c r="BZ117" s="100">
        <f t="shared" si="67"/>
        <v>0.62324158922585704</v>
      </c>
      <c r="CA117" s="489">
        <f t="shared" si="26"/>
        <v>38.325122850383927</v>
      </c>
      <c r="CB117" s="579">
        <f t="shared" si="27"/>
        <v>0.33280193124638935</v>
      </c>
      <c r="CC117" s="471">
        <f t="shared" si="68"/>
        <v>0.37688115895069452</v>
      </c>
      <c r="CD117" s="100">
        <f t="shared" si="28"/>
        <v>0.33280193124638935</v>
      </c>
      <c r="CE117" s="471">
        <f t="shared" si="69"/>
        <v>0.37688115895069452</v>
      </c>
      <c r="CG117" s="473">
        <f t="shared" si="70"/>
        <v>1533.2363037615319</v>
      </c>
      <c r="CH117" s="474">
        <f t="shared" si="71"/>
        <v>593.48054577774383</v>
      </c>
      <c r="CI117" s="474">
        <f t="shared" si="72"/>
        <v>2455.0892956525345</v>
      </c>
      <c r="CJ117" s="474">
        <f t="shared" si="73"/>
        <v>3491.9488437173395</v>
      </c>
      <c r="CK117" s="474">
        <f t="shared" si="74"/>
        <v>47.28261432968921</v>
      </c>
      <c r="CL117" s="474">
        <f t="shared" si="75"/>
        <v>8121.0376032388385</v>
      </c>
      <c r="CM117" s="576">
        <f t="shared" si="76"/>
        <v>0</v>
      </c>
    </row>
    <row r="118" spans="1:91">
      <c r="A118" s="89">
        <f>'Input data'!A138</f>
        <v>2038</v>
      </c>
      <c r="B118" s="152">
        <f>'Input data'!B138</f>
        <v>70.341572426693446</v>
      </c>
      <c r="C118" s="204">
        <f>'Input data'!C138</f>
        <v>6601.8179471225203</v>
      </c>
      <c r="D118" s="205">
        <f>'Input data'!D138</f>
        <v>36655559.518641047</v>
      </c>
      <c r="E118" s="579">
        <f t="shared" si="29"/>
        <v>0.89629090909090881</v>
      </c>
      <c r="F118" s="100">
        <f t="shared" si="30"/>
        <v>0.33901363636363629</v>
      </c>
      <c r="G118" s="474">
        <f>B118*F118*'Input data'!$C$9</f>
        <v>729.87970305381032</v>
      </c>
      <c r="H118" s="473">
        <f>'Input data'!I138</f>
        <v>424.26313389388866</v>
      </c>
      <c r="I118" s="474">
        <f>'Input data'!K138</f>
        <v>29843.335960772907</v>
      </c>
      <c r="J118" s="474">
        <f t="shared" ref="J118:J126" si="94">($J$127-$J$117)/($A$127-$A$117)+J117</f>
        <v>3733.2505464568658</v>
      </c>
      <c r="K118" s="475">
        <f t="shared" si="78"/>
        <v>10135.498227666953</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10835.263303821748</v>
      </c>
      <c r="AA118" s="475">
        <f t="shared" si="81"/>
        <v>7102.0127573648824</v>
      </c>
      <c r="AB118" s="938">
        <f t="shared" si="42"/>
        <v>0.65545363857100769</v>
      </c>
      <c r="AC118" s="118" t="str">
        <f t="shared" si="43"/>
        <v>Yes</v>
      </c>
      <c r="AD118" s="938">
        <f t="shared" si="44"/>
        <v>0.65545363857100769</v>
      </c>
      <c r="AE118" s="579">
        <f t="shared" si="11"/>
        <v>0.3432238595609628</v>
      </c>
      <c r="AF118" s="475">
        <f t="shared" si="45"/>
        <v>278.64590360939866</v>
      </c>
      <c r="AG118" s="473">
        <f t="shared" si="46"/>
        <v>3733.2505464568658</v>
      </c>
      <c r="AH118" s="474">
        <f t="shared" si="82"/>
        <v>8180.4929899928129</v>
      </c>
      <c r="AI118" s="474">
        <f t="shared" si="83"/>
        <v>6437.6604656145792</v>
      </c>
      <c r="AJ118" s="474">
        <f t="shared" si="12"/>
        <v>1248.9870080777011</v>
      </c>
      <c r="AK118" s="474">
        <f t="shared" si="47"/>
        <v>19600.391010141957</v>
      </c>
      <c r="AL118" s="640">
        <f t="shared" si="13"/>
        <v>0</v>
      </c>
      <c r="AM118" s="579">
        <f t="shared" si="48"/>
        <v>0.19046816691183077</v>
      </c>
      <c r="AN118" s="100">
        <f t="shared" si="49"/>
        <v>0.41736376512896745</v>
      </c>
      <c r="AO118" s="100">
        <f t="shared" si="50"/>
        <v>0.32844551224939844</v>
      </c>
      <c r="AP118" s="100">
        <f t="shared" si="51"/>
        <v>6.3722555709803425E-2</v>
      </c>
      <c r="AQ118" s="471">
        <f t="shared" si="52"/>
        <v>1</v>
      </c>
      <c r="AR118" s="473">
        <f t="shared" si="14"/>
        <v>686.10331338185881</v>
      </c>
      <c r="AS118" s="474">
        <f t="shared" si="15"/>
        <v>870.16461743555999</v>
      </c>
      <c r="AT118" s="474">
        <f t="shared" si="16"/>
        <v>281.9187816339728</v>
      </c>
      <c r="AU118" s="474">
        <f t="shared" si="17"/>
        <v>0</v>
      </c>
      <c r="AV118" s="474">
        <f t="shared" si="18"/>
        <v>0</v>
      </c>
      <c r="AW118" s="474">
        <f t="shared" si="19"/>
        <v>0</v>
      </c>
      <c r="AX118" s="474">
        <f t="shared" si="20"/>
        <v>1199.9415799215506</v>
      </c>
      <c r="AY118" s="474">
        <f t="shared" si="21"/>
        <v>173.48419382035058</v>
      </c>
      <c r="AZ118" s="474">
        <f t="shared" si="22"/>
        <v>252.15838019832503</v>
      </c>
      <c r="BA118" s="474">
        <f t="shared" si="23"/>
        <v>221.6672332155606</v>
      </c>
      <c r="BB118" s="474">
        <f t="shared" si="24"/>
        <v>47.81244684968577</v>
      </c>
      <c r="BC118" s="475">
        <f t="shared" si="53"/>
        <v>3733.2505464568644</v>
      </c>
      <c r="BD118" s="647">
        <f t="shared" si="54"/>
        <v>0</v>
      </c>
      <c r="BE118" s="383">
        <f t="shared" si="55"/>
        <v>0.18378174859788676</v>
      </c>
      <c r="BF118" s="383">
        <f t="shared" si="56"/>
        <v>0.2330849769141296</v>
      </c>
      <c r="BG118" s="383">
        <f t="shared" si="57"/>
        <v>7.5515633929668854E-2</v>
      </c>
      <c r="BH118" s="383">
        <f t="shared" si="58"/>
        <v>0</v>
      </c>
      <c r="BI118" s="383">
        <f t="shared" si="59"/>
        <v>0</v>
      </c>
      <c r="BJ118" s="383">
        <f t="shared" si="60"/>
        <v>0</v>
      </c>
      <c r="BK118" s="383">
        <f t="shared" si="61"/>
        <v>0.50761764055831471</v>
      </c>
      <c r="BL118" s="383">
        <f t="shared" si="62"/>
        <v>1</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90.858992658624089</v>
      </c>
      <c r="BW118" s="100">
        <f t="shared" si="65"/>
        <v>0.63616481765790334</v>
      </c>
      <c r="BX118" s="1385">
        <f t="shared" si="25"/>
        <v>36.655559518641049</v>
      </c>
      <c r="BY118" s="473">
        <f t="shared" si="66"/>
        <v>90.858992658624089</v>
      </c>
      <c r="BZ118" s="100">
        <f t="shared" si="67"/>
        <v>0.63616481765790334</v>
      </c>
      <c r="CA118" s="489">
        <f t="shared" si="26"/>
        <v>36.655559518641049</v>
      </c>
      <c r="CB118" s="579">
        <f t="shared" si="27"/>
        <v>0.3432238595609628</v>
      </c>
      <c r="CC118" s="471">
        <f t="shared" si="68"/>
        <v>0.38613740663076912</v>
      </c>
      <c r="CD118" s="100">
        <f t="shared" si="28"/>
        <v>0.3432238595609628</v>
      </c>
      <c r="CE118" s="471">
        <f t="shared" si="69"/>
        <v>0.38613740663076912</v>
      </c>
      <c r="CG118" s="473">
        <f t="shared" si="70"/>
        <v>1544.4613666019029</v>
      </c>
      <c r="CH118" s="474">
        <f t="shared" si="71"/>
        <v>597.82550969788394</v>
      </c>
      <c r="CI118" s="474">
        <f t="shared" si="72"/>
        <v>2473.0633884618505</v>
      </c>
      <c r="CJ118" s="474">
        <f t="shared" si="73"/>
        <v>3517.513947485053</v>
      </c>
      <c r="CK118" s="474">
        <f t="shared" si="74"/>
        <v>47.628777746121287</v>
      </c>
      <c r="CL118" s="474">
        <f t="shared" si="75"/>
        <v>8180.4929899928111</v>
      </c>
      <c r="CM118" s="576">
        <f t="shared" si="76"/>
        <v>0</v>
      </c>
    </row>
    <row r="119" spans="1:91">
      <c r="A119" s="89">
        <f>'Input data'!A139</f>
        <v>2039</v>
      </c>
      <c r="B119" s="152">
        <f>'Input data'!B139</f>
        <v>70.856554082712819</v>
      </c>
      <c r="C119" s="204">
        <f>'Input data'!C139</f>
        <v>6791.0078131349956</v>
      </c>
      <c r="D119" s="205">
        <f>'Input data'!D139</f>
        <v>34985996.186898179</v>
      </c>
      <c r="E119" s="579">
        <f t="shared" si="29"/>
        <v>0.90493333333333303</v>
      </c>
      <c r="F119" s="100">
        <f t="shared" si="30"/>
        <v>0.3413666666666666</v>
      </c>
      <c r="G119" s="474">
        <f>B119*F119*'Input data'!$C$9</f>
        <v>740.32631385442471</v>
      </c>
      <c r="H119" s="473">
        <f>'Input data'!I139</f>
        <v>424.26313389388866</v>
      </c>
      <c r="I119" s="474">
        <f>'Input data'!K139</f>
        <v>30061.823692053553</v>
      </c>
      <c r="J119" s="474">
        <f t="shared" si="94"/>
        <v>3566.0900742274539</v>
      </c>
      <c r="K119" s="475">
        <f t="shared" si="78"/>
        <v>10404.19397930824</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10936.798583233624</v>
      </c>
      <c r="AA119" s="475">
        <f t="shared" si="81"/>
        <v>7370.7085090061701</v>
      </c>
      <c r="AB119" s="938">
        <f t="shared" si="42"/>
        <v>0.67393656863221785</v>
      </c>
      <c r="AC119" s="118" t="str">
        <f t="shared" si="43"/>
        <v>Yes</v>
      </c>
      <c r="AD119" s="938">
        <f t="shared" si="44"/>
        <v>0.67393656863221785</v>
      </c>
      <c r="AE119" s="579">
        <f t="shared" si="11"/>
        <v>0.35350649570399229</v>
      </c>
      <c r="AF119" s="475">
        <f t="shared" si="45"/>
        <v>274.28336017466643</v>
      </c>
      <c r="AG119" s="473">
        <f t="shared" si="46"/>
        <v>3566.0900742274539</v>
      </c>
      <c r="AH119" s="474">
        <f t="shared" si="82"/>
        <v>8240.3836589344519</v>
      </c>
      <c r="AI119" s="474">
        <f t="shared" si="83"/>
        <v>6437.6604656145792</v>
      </c>
      <c r="AJ119" s="474">
        <f t="shared" si="12"/>
        <v>1190.6395454279671</v>
      </c>
      <c r="AK119" s="474">
        <f t="shared" si="47"/>
        <v>19434.773744204449</v>
      </c>
      <c r="AL119" s="640">
        <f t="shared" si="13"/>
        <v>0</v>
      </c>
      <c r="AM119" s="579">
        <f t="shared" si="48"/>
        <v>0.18349017699734635</v>
      </c>
      <c r="AN119" s="100">
        <f t="shared" si="49"/>
        <v>0.4240020371418925</v>
      </c>
      <c r="AO119" s="100">
        <f t="shared" si="50"/>
        <v>0.33124442560255291</v>
      </c>
      <c r="AP119" s="100">
        <f t="shared" si="51"/>
        <v>6.1263360258208409E-2</v>
      </c>
      <c r="AQ119" s="471">
        <f t="shared" si="52"/>
        <v>1.0000000000000002</v>
      </c>
      <c r="AR119" s="473">
        <f t="shared" si="14"/>
        <v>657.2439136613923</v>
      </c>
      <c r="AS119" s="474">
        <f t="shared" si="15"/>
        <v>833.56309106572155</v>
      </c>
      <c r="AT119" s="474">
        <f t="shared" si="16"/>
        <v>268.7487122295172</v>
      </c>
      <c r="AU119" s="474">
        <f t="shared" si="17"/>
        <v>0</v>
      </c>
      <c r="AV119" s="474">
        <f t="shared" si="18"/>
        <v>0</v>
      </c>
      <c r="AW119" s="474">
        <f t="shared" si="19"/>
        <v>0</v>
      </c>
      <c r="AX119" s="474">
        <f t="shared" si="20"/>
        <v>1143.8853150736941</v>
      </c>
      <c r="AY119" s="474">
        <f t="shared" si="21"/>
        <v>165.37973600470738</v>
      </c>
      <c r="AZ119" s="474">
        <f t="shared" si="22"/>
        <v>240.37859259822551</v>
      </c>
      <c r="BA119" s="474">
        <f t="shared" si="23"/>
        <v>211.3118648033456</v>
      </c>
      <c r="BB119" s="474">
        <f t="shared" si="24"/>
        <v>45.578848790849214</v>
      </c>
      <c r="BC119" s="475">
        <f t="shared" si="53"/>
        <v>3566.090074227453</v>
      </c>
      <c r="BD119" s="647">
        <f t="shared" si="54"/>
        <v>0</v>
      </c>
      <c r="BE119" s="383">
        <f t="shared" si="55"/>
        <v>0.18430378929892163</v>
      </c>
      <c r="BF119" s="383">
        <f t="shared" si="56"/>
        <v>0.23374706575416554</v>
      </c>
      <c r="BG119" s="383">
        <f t="shared" si="57"/>
        <v>7.5362289408165917E-2</v>
      </c>
      <c r="BH119" s="383">
        <f t="shared" si="58"/>
        <v>0</v>
      </c>
      <c r="BI119" s="383">
        <f t="shared" si="59"/>
        <v>0</v>
      </c>
      <c r="BJ119" s="383">
        <f t="shared" si="60"/>
        <v>0</v>
      </c>
      <c r="BK119" s="383">
        <f t="shared" si="61"/>
        <v>0.50658685553874683</v>
      </c>
      <c r="BL119" s="383">
        <f t="shared" si="62"/>
        <v>0.99999999999999989</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89.993891799431111</v>
      </c>
      <c r="BW119" s="100">
        <f t="shared" si="65"/>
        <v>0.64936634706195184</v>
      </c>
      <c r="BX119" s="1385">
        <f t="shared" si="25"/>
        <v>34.985996186898177</v>
      </c>
      <c r="BY119" s="473">
        <f t="shared" si="66"/>
        <v>89.993891799431111</v>
      </c>
      <c r="BZ119" s="100">
        <f t="shared" si="67"/>
        <v>0.64936634706195184</v>
      </c>
      <c r="CA119" s="489">
        <f t="shared" si="26"/>
        <v>34.985996186898177</v>
      </c>
      <c r="CB119" s="579">
        <f t="shared" si="27"/>
        <v>0.35350649570399229</v>
      </c>
      <c r="CC119" s="471">
        <f t="shared" si="68"/>
        <v>0.39532290274769877</v>
      </c>
      <c r="CD119" s="100">
        <f t="shared" si="28"/>
        <v>0.35350649570399229</v>
      </c>
      <c r="CE119" s="471">
        <f t="shared" si="69"/>
        <v>0.39532290274769877</v>
      </c>
      <c r="CG119" s="473">
        <f t="shared" si="70"/>
        <v>1555.7686098833849</v>
      </c>
      <c r="CH119" s="474">
        <f t="shared" si="71"/>
        <v>602.20228377861258</v>
      </c>
      <c r="CI119" s="474">
        <f t="shared" si="72"/>
        <v>2491.1690724165023</v>
      </c>
      <c r="CJ119" s="474">
        <f t="shared" si="73"/>
        <v>3543.2662173768713</v>
      </c>
      <c r="CK119" s="474">
        <f t="shared" si="74"/>
        <v>47.977475479079111</v>
      </c>
      <c r="CL119" s="474">
        <f t="shared" si="75"/>
        <v>8240.3836589344501</v>
      </c>
      <c r="CM119" s="576">
        <f t="shared" si="76"/>
        <v>0</v>
      </c>
    </row>
    <row r="120" spans="1:91">
      <c r="A120" s="89">
        <f>'Input data'!A140</f>
        <v>2040</v>
      </c>
      <c r="B120" s="152">
        <f>'Input data'!B140</f>
        <v>71.375305999999995</v>
      </c>
      <c r="C120" s="204">
        <f>'Input data'!C140</f>
        <v>6984.5262976576987</v>
      </c>
      <c r="D120" s="205">
        <f>'Input data'!D140</f>
        <v>33316432.855155304</v>
      </c>
      <c r="E120" s="579">
        <f t="shared" si="29"/>
        <v>0.91357575757575726</v>
      </c>
      <c r="F120" s="100">
        <f t="shared" si="30"/>
        <v>0.3437196969696969</v>
      </c>
      <c r="G120" s="474">
        <f>B120*F120*'Input data'!$C$9</f>
        <v>750.88676613467851</v>
      </c>
      <c r="H120" s="473">
        <f>'Input data'!I140</f>
        <v>424.26313389388866</v>
      </c>
      <c r="I120" s="474">
        <f>'Input data'!K140</f>
        <v>30281.911006195274</v>
      </c>
      <c r="J120" s="474">
        <f t="shared" si="94"/>
        <v>3398.929601998042</v>
      </c>
      <c r="K120" s="475">
        <f t="shared" si="78"/>
        <v>10673.633086614351</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11039.077218310322</v>
      </c>
      <c r="AA120" s="475">
        <f t="shared" si="81"/>
        <v>7640.1476163122798</v>
      </c>
      <c r="AB120" s="938">
        <f t="shared" si="42"/>
        <v>0.69210020595197053</v>
      </c>
      <c r="AC120" s="118" t="str">
        <f t="shared" si="43"/>
        <v>Yes</v>
      </c>
      <c r="AD120" s="938">
        <f t="shared" si="44"/>
        <v>0.69210020595197053</v>
      </c>
      <c r="AE120" s="579">
        <f t="shared" si="11"/>
        <v>0.36365151761921655</v>
      </c>
      <c r="AF120" s="475">
        <f t="shared" si="45"/>
        <v>269.97920138349122</v>
      </c>
      <c r="AG120" s="473">
        <f t="shared" si="46"/>
        <v>3398.929601998042</v>
      </c>
      <c r="AH120" s="474">
        <f t="shared" si="82"/>
        <v>8300.7127968327495</v>
      </c>
      <c r="AI120" s="474">
        <f t="shared" si="83"/>
        <v>6437.6604656145792</v>
      </c>
      <c r="AJ120" s="474">
        <f t="shared" si="12"/>
        <v>1132.5452479369364</v>
      </c>
      <c r="AK120" s="474">
        <f t="shared" si="47"/>
        <v>19269.848112382308</v>
      </c>
      <c r="AL120" s="640">
        <f t="shared" si="13"/>
        <v>0</v>
      </c>
      <c r="AM120" s="579">
        <f t="shared" si="48"/>
        <v>0.17638590518074596</v>
      </c>
      <c r="AN120" s="100">
        <f t="shared" si="49"/>
        <v>0.43076171376249328</v>
      </c>
      <c r="AO120" s="100">
        <f t="shared" si="50"/>
        <v>0.33407946072381883</v>
      </c>
      <c r="AP120" s="100">
        <f t="shared" si="51"/>
        <v>5.8772920332941909E-2</v>
      </c>
      <c r="AQ120" s="471">
        <f t="shared" si="52"/>
        <v>1</v>
      </c>
      <c r="AR120" s="473">
        <f t="shared" si="14"/>
        <v>628.18997518907975</v>
      </c>
      <c r="AS120" s="474">
        <f t="shared" si="15"/>
        <v>796.71483692868696</v>
      </c>
      <c r="AT120" s="474">
        <f t="shared" si="16"/>
        <v>255.63578674459976</v>
      </c>
      <c r="AU120" s="474">
        <f t="shared" si="17"/>
        <v>0</v>
      </c>
      <c r="AV120" s="474">
        <f t="shared" si="18"/>
        <v>0</v>
      </c>
      <c r="AW120" s="474">
        <f t="shared" si="19"/>
        <v>0</v>
      </c>
      <c r="AX120" s="474">
        <f t="shared" si="20"/>
        <v>1088.0722740532683</v>
      </c>
      <c r="AY120" s="474">
        <f t="shared" si="21"/>
        <v>157.31044280901386</v>
      </c>
      <c r="AZ120" s="474">
        <f t="shared" si="22"/>
        <v>228.64991659170408</v>
      </c>
      <c r="BA120" s="474">
        <f t="shared" si="23"/>
        <v>201.00142753926374</v>
      </c>
      <c r="BB120" s="474">
        <f t="shared" si="24"/>
        <v>43.35494214242479</v>
      </c>
      <c r="BC120" s="475">
        <f t="shared" si="53"/>
        <v>3398.9296019980407</v>
      </c>
      <c r="BD120" s="647">
        <f t="shared" si="54"/>
        <v>0</v>
      </c>
      <c r="BE120" s="383">
        <f t="shared" si="55"/>
        <v>0.18481994296669221</v>
      </c>
      <c r="BF120" s="383">
        <f t="shared" si="56"/>
        <v>0.23440168824336427</v>
      </c>
      <c r="BG120" s="383">
        <f t="shared" si="57"/>
        <v>7.5210674147039053E-2</v>
      </c>
      <c r="BH120" s="383">
        <f t="shared" si="58"/>
        <v>0</v>
      </c>
      <c r="BI120" s="383">
        <f t="shared" si="59"/>
        <v>0</v>
      </c>
      <c r="BJ120" s="383">
        <f t="shared" si="60"/>
        <v>0</v>
      </c>
      <c r="BK120" s="383">
        <f t="shared" si="61"/>
        <v>0.50556769464290463</v>
      </c>
      <c r="BL120" s="383">
        <f t="shared" si="62"/>
        <v>1.0000000000000002</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89.151677764830268</v>
      </c>
      <c r="BW120" s="100">
        <f t="shared" si="65"/>
        <v>0.66291070858592815</v>
      </c>
      <c r="BX120" s="1385">
        <f t="shared" si="25"/>
        <v>33.316432855155306</v>
      </c>
      <c r="BY120" s="473">
        <f t="shared" si="66"/>
        <v>89.151677764830268</v>
      </c>
      <c r="BZ120" s="100">
        <f t="shared" si="67"/>
        <v>0.66291070858592815</v>
      </c>
      <c r="CA120" s="489">
        <f t="shared" si="26"/>
        <v>33.316432855155306</v>
      </c>
      <c r="CB120" s="579">
        <f t="shared" si="27"/>
        <v>0.36365151761921655</v>
      </c>
      <c r="CC120" s="471">
        <f t="shared" si="68"/>
        <v>0.4044885695009669</v>
      </c>
      <c r="CD120" s="100">
        <f t="shared" si="28"/>
        <v>0.36365151761921655</v>
      </c>
      <c r="CE120" s="471">
        <f t="shared" si="69"/>
        <v>0.4044885695009669</v>
      </c>
      <c r="CG120" s="473">
        <f t="shared" si="70"/>
        <v>1567.1586352618433</v>
      </c>
      <c r="CH120" s="474">
        <f t="shared" si="71"/>
        <v>606.61110090709167</v>
      </c>
      <c r="CI120" s="474">
        <f t="shared" si="72"/>
        <v>2509.4073109158521</v>
      </c>
      <c r="CJ120" s="474">
        <f t="shared" si="73"/>
        <v>3569.2070236652708</v>
      </c>
      <c r="CK120" s="474">
        <f t="shared" si="74"/>
        <v>48.328726082690423</v>
      </c>
      <c r="CL120" s="474">
        <f t="shared" si="75"/>
        <v>8300.7127968327495</v>
      </c>
      <c r="CM120" s="576">
        <f t="shared" si="76"/>
        <v>0</v>
      </c>
    </row>
    <row r="121" spans="1:91">
      <c r="A121" s="89">
        <f>'Input data'!A141</f>
        <v>2041</v>
      </c>
      <c r="B121" s="152">
        <f>'Input data'!B141</f>
        <v>71.818612994947316</v>
      </c>
      <c r="C121" s="204">
        <f>'Input data'!C141</f>
        <v>7185.3982187188903</v>
      </c>
      <c r="D121" s="205">
        <f>'Input data'!D141</f>
        <v>30696987.018642712</v>
      </c>
      <c r="E121" s="579">
        <f t="shared" si="29"/>
        <v>0.92221818181818149</v>
      </c>
      <c r="F121" s="100">
        <f t="shared" si="30"/>
        <v>0.3460727272727272</v>
      </c>
      <c r="G121" s="474">
        <f>B121*F121*'Input data'!$C$9</f>
        <v>760.72280514389797</v>
      </c>
      <c r="H121" s="473">
        <f>'Input data'!I141</f>
        <v>424.26313389388866</v>
      </c>
      <c r="I121" s="474">
        <f>'Input data'!K141</f>
        <v>30469.989821148705</v>
      </c>
      <c r="J121" s="474">
        <f t="shared" si="94"/>
        <v>3231.7691297686301</v>
      </c>
      <c r="K121" s="475">
        <f t="shared" si="78"/>
        <v>10928.197253851338</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11126.480913317899</v>
      </c>
      <c r="AA121" s="475">
        <f t="shared" si="81"/>
        <v>7894.7117835492681</v>
      </c>
      <c r="AB121" s="938">
        <f t="shared" si="42"/>
        <v>0.70954256292298601</v>
      </c>
      <c r="AC121" s="118" t="str">
        <f t="shared" si="43"/>
        <v>Yes</v>
      </c>
      <c r="AD121" s="938">
        <f t="shared" si="44"/>
        <v>0.70954256292298601</v>
      </c>
      <c r="AE121" s="579">
        <f t="shared" si="11"/>
        <v>0.37326134680596657</v>
      </c>
      <c r="AF121" s="475">
        <f t="shared" si="45"/>
        <v>265.90210513653562</v>
      </c>
      <c r="AG121" s="473">
        <f t="shared" si="46"/>
        <v>3231.7691297686301</v>
      </c>
      <c r="AH121" s="474">
        <f t="shared" si="82"/>
        <v>8352.2679389695077</v>
      </c>
      <c r="AI121" s="474">
        <f t="shared" si="83"/>
        <v>6437.6604656145792</v>
      </c>
      <c r="AJ121" s="474">
        <f t="shared" si="12"/>
        <v>1075.0228489899325</v>
      </c>
      <c r="AK121" s="474">
        <f t="shared" si="47"/>
        <v>19096.720383342647</v>
      </c>
      <c r="AL121" s="640">
        <f t="shared" si="13"/>
        <v>0</v>
      </c>
      <c r="AM121" s="579">
        <f t="shared" si="48"/>
        <v>0.16923163060959834</v>
      </c>
      <c r="AN121" s="100">
        <f t="shared" si="49"/>
        <v>0.43736661433524876</v>
      </c>
      <c r="AO121" s="100">
        <f t="shared" si="50"/>
        <v>0.33710817021910783</v>
      </c>
      <c r="AP121" s="100">
        <f t="shared" si="51"/>
        <v>5.6293584836045178E-2</v>
      </c>
      <c r="AQ121" s="471">
        <f t="shared" si="52"/>
        <v>1</v>
      </c>
      <c r="AR121" s="473">
        <f t="shared" si="14"/>
        <v>598.6965748670118</v>
      </c>
      <c r="AS121" s="474">
        <f t="shared" si="15"/>
        <v>759.30922627564189</v>
      </c>
      <c r="AT121" s="474">
        <f t="shared" si="16"/>
        <v>242.65194902417261</v>
      </c>
      <c r="AU121" s="474">
        <f t="shared" si="17"/>
        <v>0</v>
      </c>
      <c r="AV121" s="474">
        <f t="shared" si="18"/>
        <v>0</v>
      </c>
      <c r="AW121" s="474">
        <f t="shared" si="19"/>
        <v>0</v>
      </c>
      <c r="AX121" s="474">
        <f t="shared" si="20"/>
        <v>1032.8086741703689</v>
      </c>
      <c r="AY121" s="474">
        <f t="shared" si="21"/>
        <v>149.32058627456325</v>
      </c>
      <c r="AZ121" s="474">
        <f t="shared" si="22"/>
        <v>217.03670136224994</v>
      </c>
      <c r="BA121" s="474">
        <f t="shared" si="23"/>
        <v>190.79248946381597</v>
      </c>
      <c r="BB121" s="474">
        <f t="shared" si="24"/>
        <v>41.152928330805594</v>
      </c>
      <c r="BC121" s="475">
        <f t="shared" si="53"/>
        <v>3231.7691297686297</v>
      </c>
      <c r="BD121" s="647">
        <f t="shared" si="54"/>
        <v>0</v>
      </c>
      <c r="BE121" s="383">
        <f t="shared" si="55"/>
        <v>0.18525351002095683</v>
      </c>
      <c r="BF121" s="383">
        <f t="shared" si="56"/>
        <v>0.23495156856393473</v>
      </c>
      <c r="BG121" s="383">
        <f t="shared" si="57"/>
        <v>7.5083317923005433E-2</v>
      </c>
      <c r="BH121" s="383">
        <f t="shared" si="58"/>
        <v>0</v>
      </c>
      <c r="BI121" s="383">
        <f t="shared" si="59"/>
        <v>0</v>
      </c>
      <c r="BJ121" s="383">
        <f t="shared" si="60"/>
        <v>0</v>
      </c>
      <c r="BK121" s="383">
        <f t="shared" si="61"/>
        <v>0.50471160349210298</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87.389084212264834</v>
      </c>
      <c r="BW121" s="100">
        <f t="shared" si="65"/>
        <v>0.68200423433682533</v>
      </c>
      <c r="BX121" s="1385">
        <f t="shared" si="25"/>
        <v>30.696987018642712</v>
      </c>
      <c r="BY121" s="473">
        <f t="shared" si="66"/>
        <v>87.389084212264834</v>
      </c>
      <c r="BZ121" s="100">
        <f t="shared" si="67"/>
        <v>0.68200423433682533</v>
      </c>
      <c r="CA121" s="489">
        <f t="shared" si="26"/>
        <v>30.696987018642712</v>
      </c>
      <c r="CB121" s="579">
        <f t="shared" si="27"/>
        <v>0.37326134680596657</v>
      </c>
      <c r="CC121" s="471">
        <f t="shared" si="68"/>
        <v>0.41702627838995165</v>
      </c>
      <c r="CD121" s="100">
        <f t="shared" si="28"/>
        <v>0.37326134680596657</v>
      </c>
      <c r="CE121" s="471">
        <f t="shared" si="69"/>
        <v>0.41702627838995165</v>
      </c>
      <c r="CG121" s="473">
        <f t="shared" si="70"/>
        <v>1576.8921470902012</v>
      </c>
      <c r="CH121" s="474">
        <f t="shared" si="71"/>
        <v>610.37871970013487</v>
      </c>
      <c r="CI121" s="474">
        <f t="shared" si="72"/>
        <v>2524.9930628578604</v>
      </c>
      <c r="CJ121" s="474">
        <f t="shared" si="73"/>
        <v>3591.3751169271886</v>
      </c>
      <c r="CK121" s="474">
        <f t="shared" si="74"/>
        <v>48.628892394122417</v>
      </c>
      <c r="CL121" s="474">
        <f t="shared" si="75"/>
        <v>8352.2679389695077</v>
      </c>
      <c r="CM121" s="576">
        <f t="shared" si="76"/>
        <v>0</v>
      </c>
    </row>
    <row r="122" spans="1:91">
      <c r="A122" s="89">
        <f>'Input data'!A142</f>
        <v>2042</v>
      </c>
      <c r="B122" s="152">
        <f>'Input data'!B142</f>
        <v>72.264673338395411</v>
      </c>
      <c r="C122" s="204">
        <f>'Input data'!C142</f>
        <v>7378.5415978844649</v>
      </c>
      <c r="D122" s="205">
        <f>'Input data'!D142</f>
        <v>28077541.182130113</v>
      </c>
      <c r="E122" s="579">
        <f t="shared" si="29"/>
        <v>0.93086060606060572</v>
      </c>
      <c r="F122" s="100">
        <f t="shared" si="30"/>
        <v>0.3484257575757575</v>
      </c>
      <c r="G122" s="474">
        <f>B122*F122*'Input data'!$C$9</f>
        <v>770.6520601014862</v>
      </c>
      <c r="H122" s="473">
        <f>'Input data'!I142</f>
        <v>424.26313389388866</v>
      </c>
      <c r="I122" s="474">
        <f>'Input data'!K142</f>
        <v>30659.23678036578</v>
      </c>
      <c r="J122" s="474">
        <f t="shared" si="94"/>
        <v>3064.6086575392183</v>
      </c>
      <c r="K122" s="475">
        <f t="shared" si="78"/>
        <v>11183.304279277698</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11214.427466514846</v>
      </c>
      <c r="AA122" s="475">
        <f t="shared" si="81"/>
        <v>8149.8188089756277</v>
      </c>
      <c r="AB122" s="938">
        <f t="shared" si="42"/>
        <v>0.7267262491384574</v>
      </c>
      <c r="AC122" s="118" t="str">
        <f t="shared" si="43"/>
        <v>Yes</v>
      </c>
      <c r="AD122" s="938">
        <f t="shared" si="44"/>
        <v>0.7267262491384574</v>
      </c>
      <c r="AE122" s="579">
        <f t="shared" si="11"/>
        <v>0.38275965270757828</v>
      </c>
      <c r="AF122" s="475">
        <f t="shared" si="45"/>
        <v>261.87232410803506</v>
      </c>
      <c r="AG122" s="473">
        <f t="shared" si="46"/>
        <v>3064.6086575392183</v>
      </c>
      <c r="AH122" s="474">
        <f t="shared" si="82"/>
        <v>8404.1432864604067</v>
      </c>
      <c r="AI122" s="474">
        <f t="shared" si="83"/>
        <v>6437.6604656145792</v>
      </c>
      <c r="AJ122" s="474">
        <f t="shared" si="12"/>
        <v>1017.70554841936</v>
      </c>
      <c r="AK122" s="474">
        <f t="shared" si="47"/>
        <v>18924.117958033563</v>
      </c>
      <c r="AL122" s="640">
        <f t="shared" si="13"/>
        <v>0</v>
      </c>
      <c r="AM122" s="579">
        <f t="shared" si="48"/>
        <v>0.16194195493472113</v>
      </c>
      <c r="AN122" s="100">
        <f t="shared" si="49"/>
        <v>0.44409696161784523</v>
      </c>
      <c r="AO122" s="100">
        <f t="shared" si="50"/>
        <v>0.34018285448710694</v>
      </c>
      <c r="AP122" s="100">
        <f t="shared" si="51"/>
        <v>5.3778228960326746E-2</v>
      </c>
      <c r="AQ122" s="471">
        <f t="shared" si="52"/>
        <v>1</v>
      </c>
      <c r="AR122" s="473">
        <f t="shared" si="14"/>
        <v>569.04557157002819</v>
      </c>
      <c r="AS122" s="474">
        <f t="shared" si="15"/>
        <v>721.70373241302821</v>
      </c>
      <c r="AT122" s="474">
        <f t="shared" si="16"/>
        <v>229.71440568793415</v>
      </c>
      <c r="AU122" s="474">
        <f t="shared" si="17"/>
        <v>0</v>
      </c>
      <c r="AV122" s="474">
        <f t="shared" si="18"/>
        <v>0</v>
      </c>
      <c r="AW122" s="474">
        <f t="shared" si="19"/>
        <v>0</v>
      </c>
      <c r="AX122" s="474">
        <f t="shared" si="20"/>
        <v>977.74211882697432</v>
      </c>
      <c r="AY122" s="474">
        <f t="shared" si="21"/>
        <v>141.3592178879147</v>
      </c>
      <c r="AZ122" s="474">
        <f t="shared" si="22"/>
        <v>205.46489350857124</v>
      </c>
      <c r="BA122" s="474">
        <f t="shared" si="23"/>
        <v>180.6199517587055</v>
      </c>
      <c r="BB122" s="474">
        <f t="shared" si="24"/>
        <v>38.958765886061016</v>
      </c>
      <c r="BC122" s="475">
        <f t="shared" si="53"/>
        <v>3064.6086575392173</v>
      </c>
      <c r="BD122" s="647">
        <f t="shared" si="54"/>
        <v>0</v>
      </c>
      <c r="BE122" s="383">
        <f t="shared" si="55"/>
        <v>0.18568294851289546</v>
      </c>
      <c r="BF122" s="383">
        <f t="shared" si="56"/>
        <v>0.23549621275054844</v>
      </c>
      <c r="BG122" s="383">
        <f t="shared" si="57"/>
        <v>7.4957174425131154E-2</v>
      </c>
      <c r="BH122" s="383">
        <f t="shared" si="58"/>
        <v>0</v>
      </c>
      <c r="BI122" s="383">
        <f t="shared" si="59"/>
        <v>0</v>
      </c>
      <c r="BJ122" s="383">
        <f t="shared" si="60"/>
        <v>0</v>
      </c>
      <c r="BK122" s="383">
        <f t="shared" si="61"/>
        <v>0.50386366431142482</v>
      </c>
      <c r="BL122" s="383">
        <f t="shared" si="62"/>
        <v>0.99999999999999989</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85.587387509438202</v>
      </c>
      <c r="BW122" s="100">
        <f t="shared" si="65"/>
        <v>0.7017476249005925</v>
      </c>
      <c r="BX122" s="1385">
        <f t="shared" si="25"/>
        <v>28.077541182130112</v>
      </c>
      <c r="BY122" s="473">
        <f t="shared" si="66"/>
        <v>85.587387509438202</v>
      </c>
      <c r="BZ122" s="100">
        <f t="shared" si="67"/>
        <v>0.7017476249005925</v>
      </c>
      <c r="CA122" s="489">
        <f t="shared" si="26"/>
        <v>28.077541182130112</v>
      </c>
      <c r="CB122" s="579">
        <f t="shared" si="27"/>
        <v>0.38275965270757828</v>
      </c>
      <c r="CC122" s="471">
        <f t="shared" si="68"/>
        <v>0.42949271482438578</v>
      </c>
      <c r="CD122" s="100">
        <f t="shared" si="28"/>
        <v>0.38275965270757828</v>
      </c>
      <c r="CE122" s="471">
        <f t="shared" si="69"/>
        <v>0.42949271482438578</v>
      </c>
      <c r="CG122" s="473">
        <f t="shared" si="70"/>
        <v>1586.6861130744951</v>
      </c>
      <c r="CH122" s="474">
        <f t="shared" si="71"/>
        <v>614.16973890795509</v>
      </c>
      <c r="CI122" s="474">
        <f t="shared" si="72"/>
        <v>2540.6756168066772</v>
      </c>
      <c r="CJ122" s="474">
        <f t="shared" si="73"/>
        <v>3613.6808946539204</v>
      </c>
      <c r="CK122" s="474">
        <f t="shared" si="74"/>
        <v>48.930923017358609</v>
      </c>
      <c r="CL122" s="474">
        <f t="shared" si="75"/>
        <v>8404.1432864604067</v>
      </c>
      <c r="CM122" s="576">
        <f t="shared" si="76"/>
        <v>0</v>
      </c>
    </row>
    <row r="123" spans="1:91">
      <c r="A123" s="89">
        <f>'Input data'!A143</f>
        <v>2043</v>
      </c>
      <c r="B123" s="152">
        <f>'Input data'!B143</f>
        <v>72.713504131197794</v>
      </c>
      <c r="C123" s="204">
        <f>'Input data'!C143</f>
        <v>7577.166622606117</v>
      </c>
      <c r="D123" s="205">
        <f>'Input data'!D143</f>
        <v>25458095.345617522</v>
      </c>
      <c r="E123" s="579">
        <f t="shared" si="29"/>
        <v>0.93950303030302995</v>
      </c>
      <c r="F123" s="100">
        <f t="shared" si="30"/>
        <v>0.3507787878787878</v>
      </c>
      <c r="G123" s="474">
        <f>B123*F123*'Input data'!$C$9</f>
        <v>780.67530949126035</v>
      </c>
      <c r="H123" s="473">
        <f>'Input data'!I143</f>
        <v>424.26313389388866</v>
      </c>
      <c r="I123" s="474">
        <f>'Input data'!K143</f>
        <v>30849.659139108197</v>
      </c>
      <c r="J123" s="474">
        <f t="shared" si="94"/>
        <v>2897.4481853098064</v>
      </c>
      <c r="K123" s="475">
        <f t="shared" si="78"/>
        <v>11438.957534547382</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11302.920249555118</v>
      </c>
      <c r="AA123" s="475">
        <f t="shared" si="81"/>
        <v>8405.4720642453121</v>
      </c>
      <c r="AB123" s="938">
        <f t="shared" si="42"/>
        <v>0.74365490321637462</v>
      </c>
      <c r="AC123" s="118" t="str">
        <f t="shared" si="43"/>
        <v>Yes</v>
      </c>
      <c r="AD123" s="938">
        <f t="shared" si="44"/>
        <v>0.74365490321637462</v>
      </c>
      <c r="AE123" s="579">
        <f t="shared" si="11"/>
        <v>0.39214758076794598</v>
      </c>
      <c r="AF123" s="475">
        <f t="shared" si="45"/>
        <v>257.8893723283731</v>
      </c>
      <c r="AG123" s="473">
        <f t="shared" si="46"/>
        <v>2897.4481853098064</v>
      </c>
      <c r="AH123" s="474">
        <f t="shared" si="82"/>
        <v>8456.3408280783351</v>
      </c>
      <c r="AI123" s="474">
        <f t="shared" si="83"/>
        <v>6437.6604656145792</v>
      </c>
      <c r="AJ123" s="474">
        <f t="shared" si="12"/>
        <v>960.59046118844435</v>
      </c>
      <c r="AK123" s="474">
        <f t="shared" si="47"/>
        <v>18752.039940191164</v>
      </c>
      <c r="AL123" s="640">
        <f t="shared" si="13"/>
        <v>0</v>
      </c>
      <c r="AM123" s="579">
        <f t="shared" si="48"/>
        <v>0.15451375927904881</v>
      </c>
      <c r="AN123" s="100">
        <f t="shared" si="49"/>
        <v>0.45095578161359912</v>
      </c>
      <c r="AO123" s="100">
        <f t="shared" si="50"/>
        <v>0.34330454106045127</v>
      </c>
      <c r="AP123" s="100">
        <f t="shared" si="51"/>
        <v>5.1225918046900867E-2</v>
      </c>
      <c r="AQ123" s="471">
        <f t="shared" si="52"/>
        <v>1</v>
      </c>
      <c r="AR123" s="473">
        <f t="shared" si="14"/>
        <v>539.23918223609951</v>
      </c>
      <c r="AS123" s="474">
        <f t="shared" si="15"/>
        <v>683.90116701795614</v>
      </c>
      <c r="AT123" s="474">
        <f t="shared" si="16"/>
        <v>216.8225055313105</v>
      </c>
      <c r="AU123" s="474">
        <f t="shared" si="17"/>
        <v>0</v>
      </c>
      <c r="AV123" s="474">
        <f t="shared" si="18"/>
        <v>0</v>
      </c>
      <c r="AW123" s="474">
        <f t="shared" si="19"/>
        <v>0</v>
      </c>
      <c r="AX123" s="474">
        <f t="shared" si="20"/>
        <v>922.86983627641121</v>
      </c>
      <c r="AY123" s="474">
        <f t="shared" si="21"/>
        <v>133.42593691769505</v>
      </c>
      <c r="AZ123" s="474">
        <f t="shared" si="22"/>
        <v>193.93391056968571</v>
      </c>
      <c r="BA123" s="474">
        <f t="shared" si="23"/>
        <v>170.48330239449143</v>
      </c>
      <c r="BB123" s="474">
        <f t="shared" si="24"/>
        <v>36.772344366155643</v>
      </c>
      <c r="BC123" s="475">
        <f t="shared" si="53"/>
        <v>2897.4481853098059</v>
      </c>
      <c r="BD123" s="647">
        <f t="shared" si="54"/>
        <v>0</v>
      </c>
      <c r="BE123" s="383">
        <f t="shared" si="55"/>
        <v>0.1861083090182826</v>
      </c>
      <c r="BF123" s="383">
        <f t="shared" si="56"/>
        <v>0.2360356849469703</v>
      </c>
      <c r="BG123" s="383">
        <f t="shared" si="57"/>
        <v>7.4832228797260453E-2</v>
      </c>
      <c r="BH123" s="383">
        <f t="shared" si="58"/>
        <v>0</v>
      </c>
      <c r="BI123" s="383">
        <f t="shared" si="59"/>
        <v>0</v>
      </c>
      <c r="BJ123" s="383">
        <f t="shared" si="60"/>
        <v>0</v>
      </c>
      <c r="BK123" s="383">
        <f t="shared" si="61"/>
        <v>0.50302377723748637</v>
      </c>
      <c r="BL123" s="383">
        <f t="shared" si="62"/>
        <v>0.99999999999999978</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83.814322603758242</v>
      </c>
      <c r="BW123" s="100">
        <f t="shared" si="65"/>
        <v>0.7224349760388008</v>
      </c>
      <c r="BX123" s="1385">
        <f t="shared" si="25"/>
        <v>25.458095345617522</v>
      </c>
      <c r="BY123" s="473">
        <f t="shared" si="66"/>
        <v>83.814322603758242</v>
      </c>
      <c r="BZ123" s="100">
        <f t="shared" si="67"/>
        <v>0.7224349760388008</v>
      </c>
      <c r="CA123" s="489">
        <f t="shared" si="26"/>
        <v>25.458095345617522</v>
      </c>
      <c r="CB123" s="579">
        <f t="shared" si="27"/>
        <v>0.39214758076794598</v>
      </c>
      <c r="CC123" s="471">
        <f t="shared" si="68"/>
        <v>0.44209693920459781</v>
      </c>
      <c r="CD123" s="100">
        <f t="shared" si="28"/>
        <v>0.39214758076794598</v>
      </c>
      <c r="CE123" s="471">
        <f t="shared" si="69"/>
        <v>0.44209693920459781</v>
      </c>
      <c r="CG123" s="473">
        <f t="shared" si="70"/>
        <v>1596.5409086912262</v>
      </c>
      <c r="CH123" s="474">
        <f t="shared" si="71"/>
        <v>617.98430386887946</v>
      </c>
      <c r="CI123" s="474">
        <f t="shared" si="72"/>
        <v>2556.4555739927446</v>
      </c>
      <c r="CJ123" s="474">
        <f t="shared" si="73"/>
        <v>3636.1252119939754</v>
      </c>
      <c r="CK123" s="474">
        <f t="shared" si="74"/>
        <v>49.23482953150824</v>
      </c>
      <c r="CL123" s="474">
        <f t="shared" si="75"/>
        <v>8456.3408280783333</v>
      </c>
      <c r="CM123" s="576">
        <f t="shared" si="76"/>
        <v>0</v>
      </c>
    </row>
    <row r="124" spans="1:91">
      <c r="A124" s="89">
        <f>'Input data'!A144</f>
        <v>2044</v>
      </c>
      <c r="B124" s="152">
        <f>'Input data'!B144</f>
        <v>73.165122580420132</v>
      </c>
      <c r="C124" s="204">
        <f>'Input data'!C144</f>
        <v>7783.6023406905715</v>
      </c>
      <c r="D124" s="205">
        <f>'Input data'!D144</f>
        <v>22838649.509104934</v>
      </c>
      <c r="E124" s="579">
        <f t="shared" si="29"/>
        <v>0.94814545454545418</v>
      </c>
      <c r="F124" s="100">
        <f t="shared" si="30"/>
        <v>0.3531318181818181</v>
      </c>
      <c r="G124" s="474">
        <f>B124*F124*'Input data'!$C$9</f>
        <v>790.79333787138808</v>
      </c>
      <c r="H124" s="473">
        <f>'Input data'!I144</f>
        <v>424.26313389388866</v>
      </c>
      <c r="I124" s="474">
        <f>'Input data'!K144</f>
        <v>31041.264197699562</v>
      </c>
      <c r="J124" s="474">
        <f t="shared" si="94"/>
        <v>2730.2877130803945</v>
      </c>
      <c r="K124" s="475">
        <f t="shared" si="78"/>
        <v>11695.160412255453</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11391.962655033776</v>
      </c>
      <c r="AA124" s="475">
        <f t="shared" si="81"/>
        <v>8661.6749419533808</v>
      </c>
      <c r="AB124" s="938">
        <f t="shared" si="42"/>
        <v>0.76033210468136847</v>
      </c>
      <c r="AC124" s="118" t="str">
        <f t="shared" si="43"/>
        <v>Yes</v>
      </c>
      <c r="AD124" s="938">
        <f t="shared" si="44"/>
        <v>0.76033210468136847</v>
      </c>
      <c r="AE124" s="579">
        <f t="shared" si="11"/>
        <v>0.40142626362055789</v>
      </c>
      <c r="AF124" s="475">
        <f t="shared" si="45"/>
        <v>253.95276926291643</v>
      </c>
      <c r="AG124" s="473">
        <f t="shared" si="46"/>
        <v>2730.2877130803945</v>
      </c>
      <c r="AH124" s="474">
        <f t="shared" si="82"/>
        <v>8508.8625649483038</v>
      </c>
      <c r="AI124" s="474">
        <f t="shared" si="83"/>
        <v>6437.6604656145792</v>
      </c>
      <c r="AJ124" s="474">
        <f t="shared" si="12"/>
        <v>903.67474911515569</v>
      </c>
      <c r="AK124" s="474">
        <f t="shared" si="47"/>
        <v>18580.485492758431</v>
      </c>
      <c r="AL124" s="640">
        <f t="shared" si="13"/>
        <v>0</v>
      </c>
      <c r="AM124" s="579">
        <f t="shared" si="48"/>
        <v>0.14694383061973804</v>
      </c>
      <c r="AN124" s="100">
        <f t="shared" si="49"/>
        <v>0.45794619135568621</v>
      </c>
      <c r="AO124" s="100">
        <f t="shared" si="50"/>
        <v>0.34647428712902023</v>
      </c>
      <c r="AP124" s="100">
        <f t="shared" si="51"/>
        <v>4.863569089555568E-2</v>
      </c>
      <c r="AQ124" s="471">
        <f t="shared" si="52"/>
        <v>1.0000000000000002</v>
      </c>
      <c r="AR124" s="473">
        <f t="shared" si="14"/>
        <v>509.27958779878134</v>
      </c>
      <c r="AS124" s="474">
        <f t="shared" si="15"/>
        <v>645.90429610419619</v>
      </c>
      <c r="AT124" s="474">
        <f t="shared" si="16"/>
        <v>203.97560792568441</v>
      </c>
      <c r="AU124" s="474">
        <f t="shared" si="17"/>
        <v>0</v>
      </c>
      <c r="AV124" s="474">
        <f t="shared" si="18"/>
        <v>0</v>
      </c>
      <c r="AW124" s="474">
        <f t="shared" si="19"/>
        <v>0</v>
      </c>
      <c r="AX124" s="474">
        <f t="shared" si="20"/>
        <v>868.18909978685019</v>
      </c>
      <c r="AY124" s="474">
        <f t="shared" si="21"/>
        <v>125.52034914065119</v>
      </c>
      <c r="AZ124" s="474">
        <f t="shared" si="22"/>
        <v>182.44317954412975</v>
      </c>
      <c r="BA124" s="474">
        <f t="shared" si="23"/>
        <v>160.38203765740099</v>
      </c>
      <c r="BB124" s="474">
        <f t="shared" si="24"/>
        <v>34.59355512269952</v>
      </c>
      <c r="BC124" s="475">
        <f t="shared" si="53"/>
        <v>2730.2877130803931</v>
      </c>
      <c r="BD124" s="647">
        <f t="shared" si="54"/>
        <v>0</v>
      </c>
      <c r="BE124" s="383">
        <f t="shared" si="55"/>
        <v>0.18652964131175637</v>
      </c>
      <c r="BF124" s="383">
        <f t="shared" si="56"/>
        <v>0.23657004828090716</v>
      </c>
      <c r="BG124" s="383">
        <f t="shared" si="57"/>
        <v>7.470846641856399E-2</v>
      </c>
      <c r="BH124" s="383">
        <f t="shared" si="58"/>
        <v>0</v>
      </c>
      <c r="BI124" s="383">
        <f t="shared" si="59"/>
        <v>0</v>
      </c>
      <c r="BJ124" s="383">
        <f t="shared" si="60"/>
        <v>0</v>
      </c>
      <c r="BK124" s="383">
        <f t="shared" si="61"/>
        <v>0.5021918439887727</v>
      </c>
      <c r="BL124" s="383">
        <f t="shared" si="62"/>
        <v>1.0000000000000002</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82.960567271946303</v>
      </c>
      <c r="BW124" s="100">
        <f t="shared" si="65"/>
        <v>0.73626092065303739</v>
      </c>
      <c r="BX124" s="1385">
        <f t="shared" si="25"/>
        <v>22.838649509104933</v>
      </c>
      <c r="BY124" s="473">
        <f t="shared" si="66"/>
        <v>82.960567271946303</v>
      </c>
      <c r="BZ124" s="100">
        <f t="shared" si="67"/>
        <v>0.73626092065303739</v>
      </c>
      <c r="CA124" s="489">
        <f t="shared" si="26"/>
        <v>22.838649509104933</v>
      </c>
      <c r="CB124" s="579">
        <f t="shared" si="27"/>
        <v>0.40142626362055789</v>
      </c>
      <c r="CC124" s="471">
        <f t="shared" si="68"/>
        <v>0.44730310913265492</v>
      </c>
      <c r="CD124" s="100">
        <f t="shared" si="28"/>
        <v>0.40142626362055789</v>
      </c>
      <c r="CE124" s="471">
        <f t="shared" si="69"/>
        <v>0.44730310913265492</v>
      </c>
      <c r="CG124" s="473">
        <f t="shared" si="70"/>
        <v>1606.4569117489552</v>
      </c>
      <c r="CH124" s="474">
        <f t="shared" si="71"/>
        <v>621.82256082392087</v>
      </c>
      <c r="CI124" s="474">
        <f t="shared" si="72"/>
        <v>2572.3335393807038</v>
      </c>
      <c r="CJ124" s="474">
        <f t="shared" si="73"/>
        <v>3658.7089294071261</v>
      </c>
      <c r="CK124" s="474">
        <f t="shared" si="74"/>
        <v>49.540623587597544</v>
      </c>
      <c r="CL124" s="474">
        <f t="shared" si="75"/>
        <v>8508.8625649483038</v>
      </c>
      <c r="CM124" s="576">
        <f t="shared" si="76"/>
        <v>0</v>
      </c>
    </row>
    <row r="125" spans="1:91">
      <c r="A125" s="89">
        <f>'Input data'!A145</f>
        <v>2045</v>
      </c>
      <c r="B125" s="152">
        <f>'Input data'!B145</f>
        <v>73.619545999999971</v>
      </c>
      <c r="C125" s="204">
        <f>'Input data'!C145</f>
        <v>7997.9247065980107</v>
      </c>
      <c r="D125" s="205">
        <f>'Input data'!D145</f>
        <v>20219203.672592338</v>
      </c>
      <c r="E125" s="579">
        <f t="shared" si="29"/>
        <v>0.95678787878787841</v>
      </c>
      <c r="F125" s="100">
        <f t="shared" si="30"/>
        <v>0.3554848484848484</v>
      </c>
      <c r="G125" s="474">
        <f>B125*F125*'Input data'!$C$9</f>
        <v>801.00693591981212</v>
      </c>
      <c r="H125" s="473">
        <f>'Input data'!I145</f>
        <v>424.26313389388866</v>
      </c>
      <c r="I125" s="474">
        <f>'Input data'!K145</f>
        <v>31234.059301805282</v>
      </c>
      <c r="J125" s="474">
        <f t="shared" si="94"/>
        <v>2563.1272408509826</v>
      </c>
      <c r="K125" s="475">
        <f t="shared" si="78"/>
        <v>11951.916326068131</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11481.558096617044</v>
      </c>
      <c r="AA125" s="475">
        <f t="shared" si="81"/>
        <v>8918.4308557660606</v>
      </c>
      <c r="AB125" s="938">
        <f t="shared" si="42"/>
        <v>0.77676137513024568</v>
      </c>
      <c r="AC125" s="118" t="str">
        <f t="shared" si="43"/>
        <v>Yes</v>
      </c>
      <c r="AD125" s="938">
        <f t="shared" si="44"/>
        <v>0.77676137513024568</v>
      </c>
      <c r="AE125" s="579">
        <f t="shared" si="11"/>
        <v>0.41059682127280317</v>
      </c>
      <c r="AF125" s="475">
        <f t="shared" si="45"/>
        <v>250.06203973382028</v>
      </c>
      <c r="AG125" s="473">
        <f t="shared" si="46"/>
        <v>2563.1272408509826</v>
      </c>
      <c r="AH125" s="474">
        <f t="shared" si="82"/>
        <v>8561.7105106241779</v>
      </c>
      <c r="AI125" s="474">
        <f t="shared" si="83"/>
        <v>6437.6604656145792</v>
      </c>
      <c r="AJ125" s="474">
        <f t="shared" si="12"/>
        <v>846.95561994806178</v>
      </c>
      <c r="AK125" s="474">
        <f t="shared" si="47"/>
        <v>18409.453837037803</v>
      </c>
      <c r="AL125" s="640">
        <f t="shared" si="13"/>
        <v>0</v>
      </c>
      <c r="AM125" s="579">
        <f t="shared" si="48"/>
        <v>0.13922885836483925</v>
      </c>
      <c r="AN125" s="100">
        <f t="shared" si="49"/>
        <v>0.46507140224871607</v>
      </c>
      <c r="AO125" s="100">
        <f t="shared" si="50"/>
        <v>0.3496931806125998</v>
      </c>
      <c r="AP125" s="100">
        <f t="shared" si="51"/>
        <v>4.6006558773844769E-2</v>
      </c>
      <c r="AQ125" s="471">
        <f t="shared" si="52"/>
        <v>0.99999999999999989</v>
      </c>
      <c r="AR125" s="473">
        <f t="shared" si="14"/>
        <v>479.16893389735191</v>
      </c>
      <c r="AS125" s="474">
        <f t="shared" si="15"/>
        <v>607.71584092282706</v>
      </c>
      <c r="AT125" s="474">
        <f t="shared" si="16"/>
        <v>191.17308260979877</v>
      </c>
      <c r="AU125" s="474">
        <f t="shared" si="17"/>
        <v>0</v>
      </c>
      <c r="AV125" s="474">
        <f t="shared" si="18"/>
        <v>0</v>
      </c>
      <c r="AW125" s="474">
        <f t="shared" si="19"/>
        <v>0</v>
      </c>
      <c r="AX125" s="474">
        <f t="shared" si="20"/>
        <v>813.69722675344963</v>
      </c>
      <c r="AY125" s="474">
        <f t="shared" si="21"/>
        <v>117.6420667132863</v>
      </c>
      <c r="AZ125" s="474">
        <f t="shared" si="22"/>
        <v>170.99213670338293</v>
      </c>
      <c r="BA125" s="474">
        <f t="shared" si="23"/>
        <v>150.31566198531434</v>
      </c>
      <c r="BB125" s="474">
        <f t="shared" si="24"/>
        <v>32.422291265571054</v>
      </c>
      <c r="BC125" s="475">
        <f t="shared" si="53"/>
        <v>2563.1272408509817</v>
      </c>
      <c r="BD125" s="647">
        <f t="shared" si="54"/>
        <v>0</v>
      </c>
      <c r="BE125" s="383">
        <f t="shared" si="55"/>
        <v>0.18694699438263682</v>
      </c>
      <c r="BF125" s="383">
        <f t="shared" si="56"/>
        <v>0.23709936488407021</v>
      </c>
      <c r="BG125" s="383">
        <f t="shared" si="57"/>
        <v>7.4585872898891889E-2</v>
      </c>
      <c r="BH125" s="383">
        <f t="shared" si="58"/>
        <v>0</v>
      </c>
      <c r="BI125" s="383">
        <f t="shared" si="59"/>
        <v>0</v>
      </c>
      <c r="BJ125" s="383">
        <f t="shared" si="60"/>
        <v>0</v>
      </c>
      <c r="BK125" s="383">
        <f t="shared" si="61"/>
        <v>0.50136776783440118</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82.322383124055023</v>
      </c>
      <c r="BW125" s="100">
        <f t="shared" si="65"/>
        <v>0.74890702546038057</v>
      </c>
      <c r="BX125" s="1385">
        <f t="shared" si="25"/>
        <v>20.219203672592339</v>
      </c>
      <c r="BY125" s="473">
        <f t="shared" si="66"/>
        <v>82.322383124055023</v>
      </c>
      <c r="BZ125" s="100">
        <f t="shared" si="67"/>
        <v>0.74890702546038057</v>
      </c>
      <c r="CA125" s="489">
        <f t="shared" si="26"/>
        <v>20.219203672592339</v>
      </c>
      <c r="CB125" s="579">
        <f t="shared" si="27"/>
        <v>0.41059682127280317</v>
      </c>
      <c r="CC125" s="471">
        <f t="shared" si="68"/>
        <v>0.45112073345816417</v>
      </c>
      <c r="CD125" s="100">
        <f t="shared" si="28"/>
        <v>0.41059682127280317</v>
      </c>
      <c r="CE125" s="471">
        <f t="shared" si="69"/>
        <v>0.45112073345816417</v>
      </c>
      <c r="CG125" s="473">
        <f t="shared" si="70"/>
        <v>1616.4345024027839</v>
      </c>
      <c r="CH125" s="474">
        <f t="shared" si="71"/>
        <v>625.68465692238522</v>
      </c>
      <c r="CI125" s="474">
        <f t="shared" si="72"/>
        <v>2588.3101216925897</v>
      </c>
      <c r="CJ125" s="474">
        <f t="shared" si="73"/>
        <v>3681.4329126974026</v>
      </c>
      <c r="CK125" s="474">
        <f t="shared" si="74"/>
        <v>49.848316909016496</v>
      </c>
      <c r="CL125" s="474">
        <f t="shared" si="75"/>
        <v>8561.7105106241779</v>
      </c>
      <c r="CM125" s="576">
        <f t="shared" si="76"/>
        <v>0</v>
      </c>
    </row>
    <row r="126" spans="1:91">
      <c r="A126" s="89">
        <f>'Input data'!A146</f>
        <v>2046</v>
      </c>
      <c r="B126" s="152">
        <f>'Input data'!B146</f>
        <v>73.995362001779526</v>
      </c>
      <c r="C126" s="204">
        <f>'Input data'!C146</f>
        <v>8212.8506709212088</v>
      </c>
      <c r="D126" s="205">
        <f>'Input data'!D146</f>
        <v>16217597.669678843</v>
      </c>
      <c r="E126" s="579">
        <f t="shared" si="29"/>
        <v>0.96543030303030264</v>
      </c>
      <c r="F126" s="100">
        <f t="shared" si="30"/>
        <v>0.3578378787878787</v>
      </c>
      <c r="G126" s="474">
        <f>B126*F126*'Input data'!$C$9</f>
        <v>810.42505056127879</v>
      </c>
      <c r="H126" s="473">
        <f>'Input data'!I146</f>
        <v>424.26313389388866</v>
      </c>
      <c r="I126" s="474">
        <f>'Input data'!K146</f>
        <v>31393.50417648775</v>
      </c>
      <c r="J126" s="474">
        <f t="shared" si="94"/>
        <v>2395.9667686215707</v>
      </c>
      <c r="K126" s="475">
        <f>I126*$B$10-J126</f>
        <v>12193.173773019116</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11555.655071338617</v>
      </c>
      <c r="AA126" s="475">
        <f t="shared" si="81"/>
        <v>9159.6883027170461</v>
      </c>
      <c r="AB126" s="938">
        <f t="shared" si="42"/>
        <v>0.79265850755927592</v>
      </c>
      <c r="AC126" s="118" t="str">
        <f t="shared" si="43"/>
        <v>Yes</v>
      </c>
      <c r="AD126" s="938">
        <f t="shared" si="44"/>
        <v>0.79265850755927592</v>
      </c>
      <c r="AE126" s="579">
        <f t="shared" si="11"/>
        <v>0.41931610360905747</v>
      </c>
      <c r="AF126" s="475">
        <f t="shared" si="45"/>
        <v>246.36276968453541</v>
      </c>
      <c r="AG126" s="473">
        <f t="shared" si="46"/>
        <v>2395.9667686215707</v>
      </c>
      <c r="AH126" s="474">
        <f t="shared" si="82"/>
        <v>8605.4166727417341</v>
      </c>
      <c r="AI126" s="474">
        <f t="shared" si="83"/>
        <v>6437.6604656145792</v>
      </c>
      <c r="AJ126" s="474">
        <f t="shared" si="12"/>
        <v>790.65841959034776</v>
      </c>
      <c r="AK126" s="474">
        <f t="shared" si="47"/>
        <v>18229.702326568233</v>
      </c>
      <c r="AL126" s="640">
        <f t="shared" si="13"/>
        <v>0</v>
      </c>
      <c r="AM126" s="579">
        <f t="shared" si="48"/>
        <v>0.13143202920706248</v>
      </c>
      <c r="AN126" s="100">
        <f t="shared" si="49"/>
        <v>0.47205470054220661</v>
      </c>
      <c r="AO126" s="100">
        <f t="shared" si="50"/>
        <v>0.35314128285201013</v>
      </c>
      <c r="AP126" s="100">
        <f t="shared" si="51"/>
        <v>4.3371987398720752E-2</v>
      </c>
      <c r="AQ126" s="471">
        <f t="shared" si="52"/>
        <v>0.99999999999999989</v>
      </c>
      <c r="AR126" s="473">
        <f t="shared" si="14"/>
        <v>448.73405882597558</v>
      </c>
      <c r="AS126" s="474">
        <f t="shared" si="15"/>
        <v>569.11618558426801</v>
      </c>
      <c r="AT126" s="474">
        <f t="shared" si="16"/>
        <v>178.46579419798604</v>
      </c>
      <c r="AU126" s="474">
        <f t="shared" si="17"/>
        <v>0</v>
      </c>
      <c r="AV126" s="474">
        <f t="shared" si="18"/>
        <v>0</v>
      </c>
      <c r="AW126" s="474">
        <f t="shared" si="19"/>
        <v>0</v>
      </c>
      <c r="AX126" s="474">
        <f t="shared" si="20"/>
        <v>759.61071415924243</v>
      </c>
      <c r="AY126" s="474">
        <f t="shared" si="21"/>
        <v>109.8223901632215</v>
      </c>
      <c r="AZ126" s="474">
        <f t="shared" si="22"/>
        <v>159.62627720277024</v>
      </c>
      <c r="BA126" s="474">
        <f t="shared" si="23"/>
        <v>140.32416923129185</v>
      </c>
      <c r="BB126" s="474">
        <f t="shared" si="24"/>
        <v>30.267179256814391</v>
      </c>
      <c r="BC126" s="475">
        <f t="shared" si="53"/>
        <v>2395.9667686215698</v>
      </c>
      <c r="BD126" s="647">
        <f t="shared" si="54"/>
        <v>0</v>
      </c>
      <c r="BE126" s="383">
        <f t="shared" si="55"/>
        <v>0.18728726320529812</v>
      </c>
      <c r="BF126" s="383">
        <f t="shared" si="56"/>
        <v>0.23753091780638</v>
      </c>
      <c r="BG126" s="383">
        <f t="shared" si="57"/>
        <v>7.4485922148519484E-2</v>
      </c>
      <c r="BH126" s="383">
        <f t="shared" si="58"/>
        <v>0</v>
      </c>
      <c r="BI126" s="383">
        <f t="shared" si="59"/>
        <v>0</v>
      </c>
      <c r="BJ126" s="383">
        <f t="shared" si="60"/>
        <v>0</v>
      </c>
      <c r="BK126" s="383">
        <f t="shared" si="61"/>
        <v>0.50069589683980242</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81.45886392157513</v>
      </c>
      <c r="BW126" s="100">
        <f t="shared" si="65"/>
        <v>0.76039535318329965</v>
      </c>
      <c r="BX126" s="1385">
        <f t="shared" si="25"/>
        <v>16.217597669678842</v>
      </c>
      <c r="BY126" s="473">
        <f t="shared" si="66"/>
        <v>81.45886392157513</v>
      </c>
      <c r="BZ126" s="100">
        <f t="shared" si="67"/>
        <v>0.76039535318329965</v>
      </c>
      <c r="CA126" s="489">
        <f t="shared" si="26"/>
        <v>16.217597669678842</v>
      </c>
      <c r="CB126" s="579">
        <f t="shared" si="27"/>
        <v>0.41931610360905747</v>
      </c>
      <c r="CC126" s="471">
        <f t="shared" si="68"/>
        <v>0.45030920412718844</v>
      </c>
      <c r="CD126" s="100">
        <f t="shared" si="28"/>
        <v>0.41931610360905747</v>
      </c>
      <c r="CE126" s="471">
        <f t="shared" si="69"/>
        <v>0.45030920412718844</v>
      </c>
      <c r="CG126" s="473">
        <f t="shared" si="70"/>
        <v>1624.6861418767837</v>
      </c>
      <c r="CH126" s="474">
        <f t="shared" si="71"/>
        <v>628.87867697433421</v>
      </c>
      <c r="CI126" s="474">
        <f t="shared" si="72"/>
        <v>2601.5230306841781</v>
      </c>
      <c r="CJ126" s="474">
        <f t="shared" si="73"/>
        <v>3700.2260386162934</v>
      </c>
      <c r="CK126" s="474">
        <f t="shared" si="74"/>
        <v>50.10278459014274</v>
      </c>
      <c r="CL126" s="474">
        <f t="shared" si="75"/>
        <v>8605.4166727417305</v>
      </c>
      <c r="CM126" s="576">
        <f t="shared" si="76"/>
        <v>0</v>
      </c>
    </row>
    <row r="127" spans="1:91" s="1" customFormat="1">
      <c r="A127" s="89">
        <f>'Input data'!A147</f>
        <v>2047</v>
      </c>
      <c r="B127" s="152">
        <f>'Input data'!B147</f>
        <v>74.373096484110363</v>
      </c>
      <c r="C127" s="204">
        <f>'Input data'!C147</f>
        <v>8261.0803168727289</v>
      </c>
      <c r="D127" s="205">
        <f>'Input data'!D147</f>
        <v>12215991.666765345</v>
      </c>
      <c r="E127" s="579">
        <f t="shared" si="29"/>
        <v>0.97407272727272687</v>
      </c>
      <c r="F127" s="100">
        <f t="shared" si="30"/>
        <v>0.36019090909090901</v>
      </c>
      <c r="G127" s="474">
        <f>B127*F127*'Input data'!$C$9</f>
        <v>819.91844738595455</v>
      </c>
      <c r="H127" s="473">
        <f>'Input data'!I147</f>
        <v>424.26313389388866</v>
      </c>
      <c r="I127" s="474">
        <f>'Input data'!K147</f>
        <v>31553.762991741216</v>
      </c>
      <c r="J127" s="474">
        <f>J97*(1-$C$6)</f>
        <v>2228.8062963921584</v>
      </c>
      <c r="K127" s="475">
        <f t="shared" si="78"/>
        <v>12434.809473169109</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11630.130299259197</v>
      </c>
      <c r="AA127" s="475">
        <f t="shared" si="81"/>
        <v>9401.3240028670389</v>
      </c>
      <c r="AB127" s="938">
        <f t="shared" si="42"/>
        <v>0.80835930131117051</v>
      </c>
      <c r="AC127" s="118" t="str">
        <f t="shared" si="43"/>
        <v>Yes</v>
      </c>
      <c r="AD127" s="938">
        <f t="shared" si="44"/>
        <v>0.80835930131117051</v>
      </c>
      <c r="AE127" s="579">
        <f t="shared" si="11"/>
        <v>0.4279500163115344</v>
      </c>
      <c r="AF127" s="475">
        <f t="shared" si="45"/>
        <v>242.69971882361628</v>
      </c>
      <c r="AG127" s="473">
        <f t="shared" si="46"/>
        <v>2228.8062963921584</v>
      </c>
      <c r="AH127" s="474">
        <f t="shared" si="82"/>
        <v>8649.3459478230707</v>
      </c>
      <c r="AI127" s="474">
        <f t="shared" si="83"/>
        <v>6437.6604656145792</v>
      </c>
      <c r="AJ127" s="474">
        <f t="shared" si="12"/>
        <v>734.51689490546516</v>
      </c>
      <c r="AK127" s="474">
        <f t="shared" si="47"/>
        <v>18050.329604735271</v>
      </c>
      <c r="AL127" s="640">
        <f t="shared" si="13"/>
        <v>0</v>
      </c>
      <c r="AM127" s="579">
        <f t="shared" si="48"/>
        <v>0.12347731843120803</v>
      </c>
      <c r="AN127" s="100">
        <f t="shared" si="49"/>
        <v>0.47917939102641244</v>
      </c>
      <c r="AO127" s="100">
        <f t="shared" si="50"/>
        <v>0.35665057683632229</v>
      </c>
      <c r="AP127" s="100">
        <f t="shared" si="51"/>
        <v>4.0692713706057433E-2</v>
      </c>
      <c r="AQ127" s="471">
        <f t="shared" si="52"/>
        <v>1.0000000000000002</v>
      </c>
      <c r="AR127" s="473">
        <f t="shared" si="14"/>
        <v>418.17955848214643</v>
      </c>
      <c r="AS127" s="474">
        <f t="shared" si="15"/>
        <v>530.36481303722223</v>
      </c>
      <c r="AT127" s="474">
        <f t="shared" si="16"/>
        <v>165.79364457923589</v>
      </c>
      <c r="AU127" s="474">
        <f t="shared" si="17"/>
        <v>0</v>
      </c>
      <c r="AV127" s="474">
        <f t="shared" si="18"/>
        <v>0</v>
      </c>
      <c r="AW127" s="474">
        <f t="shared" si="19"/>
        <v>0</v>
      </c>
      <c r="AX127" s="474">
        <f t="shared" si="20"/>
        <v>705.67376413982981</v>
      </c>
      <c r="AY127" s="474">
        <f t="shared" si="21"/>
        <v>102.02433695144923</v>
      </c>
      <c r="AZ127" s="474">
        <f t="shared" si="22"/>
        <v>148.29184711274678</v>
      </c>
      <c r="BA127" s="474">
        <f t="shared" si="23"/>
        <v>130.36030542412979</v>
      </c>
      <c r="BB127" s="474">
        <f t="shared" si="24"/>
        <v>28.118026665397458</v>
      </c>
      <c r="BC127" s="475">
        <f t="shared" si="53"/>
        <v>2228.8062963921575</v>
      </c>
      <c r="BD127" s="647">
        <f t="shared" si="54"/>
        <v>0</v>
      </c>
      <c r="BE127" s="383">
        <f t="shared" si="55"/>
        <v>0.18762490000098597</v>
      </c>
      <c r="BF127" s="383">
        <f t="shared" si="56"/>
        <v>0.23795913260642762</v>
      </c>
      <c r="BG127" s="383">
        <f t="shared" si="57"/>
        <v>7.4386744531192123E-2</v>
      </c>
      <c r="BH127" s="383">
        <f t="shared" si="58"/>
        <v>0</v>
      </c>
      <c r="BI127" s="383">
        <f t="shared" si="59"/>
        <v>0</v>
      </c>
      <c r="BJ127" s="383">
        <f t="shared" si="60"/>
        <v>0</v>
      </c>
      <c r="BK127" s="383">
        <f t="shared" si="61"/>
        <v>0.5000292228613944</v>
      </c>
      <c r="BL127" s="383">
        <f t="shared" si="62"/>
        <v>1</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79.794615263463783</v>
      </c>
      <c r="BW127" s="100">
        <f t="shared" si="65"/>
        <v>0.76917104840137818</v>
      </c>
      <c r="BX127" s="1385">
        <f t="shared" si="25"/>
        <v>12.215991666765346</v>
      </c>
      <c r="BY127" s="473">
        <f t="shared" si="66"/>
        <v>79.794615263463783</v>
      </c>
      <c r="BZ127" s="100">
        <f t="shared" si="67"/>
        <v>0.76917104840137818</v>
      </c>
      <c r="CA127" s="489">
        <f t="shared" si="26"/>
        <v>12.215991666765346</v>
      </c>
      <c r="CB127" s="579">
        <f t="shared" si="27"/>
        <v>0.4279500163115344</v>
      </c>
      <c r="CC127" s="471">
        <f t="shared" si="68"/>
        <v>0.4467626894601725</v>
      </c>
      <c r="CD127" s="100">
        <f t="shared" si="28"/>
        <v>0.4279500163115344</v>
      </c>
      <c r="CE127" s="471">
        <f t="shared" si="69"/>
        <v>0.4467626894601725</v>
      </c>
      <c r="CG127" s="473">
        <f t="shared" si="70"/>
        <v>1632.9799046498772</v>
      </c>
      <c r="CH127" s="474">
        <f t="shared" si="71"/>
        <v>632.08900198754372</v>
      </c>
      <c r="CI127" s="474">
        <f t="shared" si="72"/>
        <v>2614.8033894618484</v>
      </c>
      <c r="CJ127" s="474">
        <f t="shared" si="73"/>
        <v>3719.115100435738</v>
      </c>
      <c r="CK127" s="474">
        <f t="shared" si="74"/>
        <v>50.358551288061392</v>
      </c>
      <c r="CL127" s="474">
        <f t="shared" si="75"/>
        <v>8649.3459478230689</v>
      </c>
      <c r="CM127" s="576">
        <f t="shared" si="76"/>
        <v>0</v>
      </c>
    </row>
    <row r="128" spans="1:91">
      <c r="A128" s="89">
        <f>'Input data'!A148</f>
        <v>2048</v>
      </c>
      <c r="B128" s="152">
        <f>'Input data'!B148</f>
        <v>74.752759240528661</v>
      </c>
      <c r="C128" s="204">
        <f>'Input data'!C148</f>
        <v>8289.8997424694644</v>
      </c>
      <c r="D128" s="205">
        <f>'Input data'!D148</f>
        <v>8214385.6638518488</v>
      </c>
      <c r="E128" s="579">
        <f t="shared" si="29"/>
        <v>0.9827151515151511</v>
      </c>
      <c r="F128" s="100">
        <f t="shared" si="30"/>
        <v>0.36254393939393931</v>
      </c>
      <c r="G128" s="474">
        <f>B128*F128*'Input data'!$C$9</f>
        <v>829.4876495705023</v>
      </c>
      <c r="H128" s="473">
        <f>'Input data'!I148</f>
        <v>424.26313389388866</v>
      </c>
      <c r="I128" s="474">
        <f>'Input data'!K148</f>
        <v>31714.839902602034</v>
      </c>
      <c r="J128" s="474">
        <f>J127</f>
        <v>2228.8062963921584</v>
      </c>
      <c r="K128" s="475">
        <f t="shared" si="78"/>
        <v>12509.664885210746</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11704.985711300835</v>
      </c>
      <c r="AA128" s="475">
        <f t="shared" si="81"/>
        <v>9476.1794149086763</v>
      </c>
      <c r="AB128" s="938">
        <f t="shared" si="42"/>
        <v>0.80958487678969926</v>
      </c>
      <c r="AC128" s="118" t="str">
        <f t="shared" si="43"/>
        <v>Yes</v>
      </c>
      <c r="AD128" s="938">
        <f t="shared" si="44"/>
        <v>0.80958487678969926</v>
      </c>
      <c r="AE128" s="579">
        <f t="shared" si="11"/>
        <v>0.42949384463559215</v>
      </c>
      <c r="AF128" s="475">
        <f t="shared" si="45"/>
        <v>242.04472938065743</v>
      </c>
      <c r="AG128" s="473">
        <f t="shared" si="46"/>
        <v>2228.8062963921584</v>
      </c>
      <c r="AH128" s="474">
        <f t="shared" si="82"/>
        <v>8693.4994748241606</v>
      </c>
      <c r="AI128" s="474">
        <f t="shared" si="83"/>
        <v>6437.6604656145792</v>
      </c>
      <c r="AJ128" s="474">
        <f t="shared" si="12"/>
        <v>733.54514400029723</v>
      </c>
      <c r="AK128" s="474">
        <f t="shared" si="47"/>
        <v>18093.511380831198</v>
      </c>
      <c r="AL128" s="640">
        <f t="shared" si="13"/>
        <v>0</v>
      </c>
      <c r="AM128" s="579">
        <f t="shared" si="48"/>
        <v>0.12318262881540074</v>
      </c>
      <c r="AN128" s="100">
        <f t="shared" si="49"/>
        <v>0.48047608293624594</v>
      </c>
      <c r="AO128" s="100">
        <f t="shared" si="50"/>
        <v>0.35579939847578879</v>
      </c>
      <c r="AP128" s="100">
        <f t="shared" si="51"/>
        <v>4.0541889772564364E-2</v>
      </c>
      <c r="AQ128" s="471">
        <f t="shared" si="52"/>
        <v>0.99999999999999978</v>
      </c>
      <c r="AR128" s="473">
        <f t="shared" si="14"/>
        <v>418.92627737966245</v>
      </c>
      <c r="AS128" s="474">
        <f t="shared" si="15"/>
        <v>531.31185461407483</v>
      </c>
      <c r="AT128" s="474">
        <f t="shared" si="16"/>
        <v>165.57430296121677</v>
      </c>
      <c r="AU128" s="474">
        <f t="shared" si="17"/>
        <v>0</v>
      </c>
      <c r="AV128" s="474">
        <f t="shared" si="18"/>
        <v>0</v>
      </c>
      <c r="AW128" s="474">
        <f t="shared" si="19"/>
        <v>0</v>
      </c>
      <c r="AX128" s="474">
        <f t="shared" si="20"/>
        <v>704.7401721097317</v>
      </c>
      <c r="AY128" s="474">
        <f t="shared" si="21"/>
        <v>101.88936082977064</v>
      </c>
      <c r="AZ128" s="474">
        <f t="shared" si="22"/>
        <v>148.09566001662915</v>
      </c>
      <c r="BA128" s="474">
        <f t="shared" si="23"/>
        <v>130.18784139277466</v>
      </c>
      <c r="BB128" s="474">
        <f t="shared" si="24"/>
        <v>28.080827088296978</v>
      </c>
      <c r="BC128" s="475">
        <f t="shared" si="53"/>
        <v>2228.8062963921575</v>
      </c>
      <c r="BD128" s="647">
        <f t="shared" si="54"/>
        <v>0</v>
      </c>
      <c r="BE128" s="383">
        <f t="shared" si="55"/>
        <v>0.18795993086424437</v>
      </c>
      <c r="BF128" s="383">
        <f t="shared" si="56"/>
        <v>0.23838404237915467</v>
      </c>
      <c r="BG128" s="383">
        <f t="shared" si="57"/>
        <v>7.4288332381884134E-2</v>
      </c>
      <c r="BH128" s="383">
        <f t="shared" si="58"/>
        <v>0</v>
      </c>
      <c r="BI128" s="383">
        <f t="shared" si="59"/>
        <v>0</v>
      </c>
      <c r="BJ128" s="383">
        <f t="shared" si="60"/>
        <v>0</v>
      </c>
      <c r="BK128" s="383">
        <f t="shared" si="61"/>
        <v>0.49936769437471668</v>
      </c>
      <c r="BL128" s="383">
        <f t="shared" si="62"/>
        <v>0.99999999999999978</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78.304110051304278</v>
      </c>
      <c r="BW128" s="100">
        <f t="shared" si="65"/>
        <v>0.77603003654322189</v>
      </c>
      <c r="BX128" s="1385">
        <f t="shared" si="25"/>
        <v>8.2143856638518482</v>
      </c>
      <c r="BY128" s="473">
        <f t="shared" si="66"/>
        <v>78.304110051304278</v>
      </c>
      <c r="BZ128" s="100">
        <f t="shared" si="67"/>
        <v>0.77603003654322189</v>
      </c>
      <c r="CA128" s="489">
        <f t="shared" si="26"/>
        <v>8.2143856638518482</v>
      </c>
      <c r="CB128" s="579">
        <f t="shared" si="27"/>
        <v>0.42949384463559215</v>
      </c>
      <c r="CC128" s="471">
        <f t="shared" si="68"/>
        <v>0.4422390627069317</v>
      </c>
      <c r="CD128" s="100">
        <f t="shared" si="28"/>
        <v>0.42949384463559215</v>
      </c>
      <c r="CE128" s="471">
        <f t="shared" si="69"/>
        <v>0.4422390627069317</v>
      </c>
      <c r="CG128" s="473">
        <f t="shared" si="70"/>
        <v>1641.3160057547641</v>
      </c>
      <c r="CH128" s="474">
        <f t="shared" si="71"/>
        <v>635.31571519623139</v>
      </c>
      <c r="CI128" s="474">
        <f t="shared" si="72"/>
        <v>2628.1515423459641</v>
      </c>
      <c r="CJ128" s="474">
        <f t="shared" si="73"/>
        <v>3738.1005878931555</v>
      </c>
      <c r="CK128" s="474">
        <f t="shared" si="74"/>
        <v>50.615623634045299</v>
      </c>
      <c r="CL128" s="474">
        <f t="shared" si="75"/>
        <v>8693.4994748241606</v>
      </c>
      <c r="CM128" s="576">
        <f t="shared" si="76"/>
        <v>0</v>
      </c>
    </row>
    <row r="129" spans="1:91">
      <c r="A129" s="89">
        <f>'Input data'!A149</f>
        <v>2049</v>
      </c>
      <c r="B129" s="152">
        <f>'Input data'!B149</f>
        <v>75.134360114565098</v>
      </c>
      <c r="C129" s="204">
        <f>'Input data'!C149</f>
        <v>8319.7266636271434</v>
      </c>
      <c r="D129" s="205">
        <f>'Input data'!D149</f>
        <v>4212779.6609383523</v>
      </c>
      <c r="E129" s="579">
        <f t="shared" si="29"/>
        <v>0.99135757575757533</v>
      </c>
      <c r="F129" s="100">
        <f t="shared" si="30"/>
        <v>0.36489696969696961</v>
      </c>
      <c r="G129" s="474">
        <f>B129*F129*'Input data'!$C$9</f>
        <v>839.13318367124407</v>
      </c>
      <c r="H129" s="473">
        <f>'Input data'!I149</f>
        <v>424.26313389388866</v>
      </c>
      <c r="I129" s="474">
        <f>'Input data'!K149</f>
        <v>31876.739085317382</v>
      </c>
      <c r="J129" s="474">
        <f t="shared" ref="J129:J130" si="95">J128</f>
        <v>2228.8062963921584</v>
      </c>
      <c r="K129" s="475">
        <f t="shared" si="78"/>
        <v>12584.902422152543</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11780.223248242632</v>
      </c>
      <c r="AA129" s="475">
        <f t="shared" si="81"/>
        <v>9551.4169518504732</v>
      </c>
      <c r="AB129" s="938">
        <f t="shared" si="42"/>
        <v>0.81080101374779545</v>
      </c>
      <c r="AC129" s="118" t="str">
        <f t="shared" si="43"/>
        <v>Yes</v>
      </c>
      <c r="AD129" s="938">
        <f t="shared" si="44"/>
        <v>0.81080101374779545</v>
      </c>
      <c r="AE129" s="579">
        <f t="shared" si="11"/>
        <v>0.43102944159952994</v>
      </c>
      <c r="AF129" s="475">
        <f t="shared" si="45"/>
        <v>241.39323220033924</v>
      </c>
      <c r="AG129" s="473">
        <f t="shared" si="46"/>
        <v>2228.8062963921584</v>
      </c>
      <c r="AH129" s="474">
        <f t="shared" si="82"/>
        <v>8737.8783985151767</v>
      </c>
      <c r="AI129" s="474">
        <f t="shared" si="83"/>
        <v>6437.6604656145792</v>
      </c>
      <c r="AJ129" s="474">
        <f t="shared" si="12"/>
        <v>732.58087683720362</v>
      </c>
      <c r="AK129" s="474">
        <f t="shared" si="47"/>
        <v>18136.926037359121</v>
      </c>
      <c r="AL129" s="640">
        <f t="shared" si="13"/>
        <v>0</v>
      </c>
      <c r="AM129" s="579">
        <f t="shared" si="48"/>
        <v>0.12288776454186226</v>
      </c>
      <c r="AN129" s="100">
        <f t="shared" si="49"/>
        <v>0.48177284179891161</v>
      </c>
      <c r="AO129" s="100">
        <f t="shared" si="50"/>
        <v>0.35494771563571714</v>
      </c>
      <c r="AP129" s="100">
        <f t="shared" si="51"/>
        <v>4.0391678023508841E-2</v>
      </c>
      <c r="AQ129" s="471">
        <f t="shared" si="52"/>
        <v>0.99999999999999989</v>
      </c>
      <c r="AR129" s="473">
        <f t="shared" si="14"/>
        <v>419.66724557337062</v>
      </c>
      <c r="AS129" s="474">
        <f t="shared" si="15"/>
        <v>532.25160274272309</v>
      </c>
      <c r="AT129" s="474">
        <f t="shared" si="16"/>
        <v>165.35665055808457</v>
      </c>
      <c r="AU129" s="474">
        <f t="shared" si="17"/>
        <v>0</v>
      </c>
      <c r="AV129" s="474">
        <f t="shared" si="18"/>
        <v>0</v>
      </c>
      <c r="AW129" s="474">
        <f t="shared" si="19"/>
        <v>0</v>
      </c>
      <c r="AX129" s="474">
        <f t="shared" si="20"/>
        <v>703.81376994888797</v>
      </c>
      <c r="AY129" s="474">
        <f t="shared" si="21"/>
        <v>101.75542419925743</v>
      </c>
      <c r="AZ129" s="474">
        <f t="shared" si="22"/>
        <v>147.90098381555453</v>
      </c>
      <c r="BA129" s="474">
        <f t="shared" si="23"/>
        <v>130.01670555810125</v>
      </c>
      <c r="BB129" s="474">
        <f t="shared" si="24"/>
        <v>28.043913996178219</v>
      </c>
      <c r="BC129" s="475">
        <f t="shared" si="53"/>
        <v>2228.8062963921579</v>
      </c>
      <c r="BD129" s="647">
        <f t="shared" si="54"/>
        <v>0</v>
      </c>
      <c r="BE129" s="383">
        <f t="shared" si="55"/>
        <v>0.1882923815554092</v>
      </c>
      <c r="BF129" s="383">
        <f t="shared" si="56"/>
        <v>0.23880567979563602</v>
      </c>
      <c r="BG129" s="383">
        <f t="shared" si="57"/>
        <v>7.419067813374039E-2</v>
      </c>
      <c r="BH129" s="383">
        <f t="shared" si="58"/>
        <v>0</v>
      </c>
      <c r="BI129" s="383">
        <f t="shared" si="59"/>
        <v>0</v>
      </c>
      <c r="BJ129" s="383">
        <f t="shared" si="60"/>
        <v>0</v>
      </c>
      <c r="BK129" s="383">
        <f t="shared" si="61"/>
        <v>0.49871126051521419</v>
      </c>
      <c r="BL129" s="383">
        <f t="shared" si="62"/>
        <v>0.99999999999999978</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76.866959264081899</v>
      </c>
      <c r="BW129" s="100">
        <f t="shared" si="65"/>
        <v>0.78268184830591203</v>
      </c>
      <c r="BX129" s="1385">
        <f t="shared" si="25"/>
        <v>4.2127796609383523</v>
      </c>
      <c r="BY129" s="473">
        <f t="shared" si="66"/>
        <v>76.866959264081899</v>
      </c>
      <c r="BZ129" s="100">
        <f t="shared" si="67"/>
        <v>0.78268184830591203</v>
      </c>
      <c r="CA129" s="489">
        <f t="shared" si="26"/>
        <v>4.2127796609383523</v>
      </c>
      <c r="CB129" s="579">
        <f t="shared" si="27"/>
        <v>0.43102944159952994</v>
      </c>
      <c r="CC129" s="471">
        <f t="shared" si="68"/>
        <v>0.43695449014514709</v>
      </c>
      <c r="CD129" s="100">
        <f t="shared" si="28"/>
        <v>0.43102944159952994</v>
      </c>
      <c r="CE129" s="471">
        <f t="shared" si="69"/>
        <v>0.43695449014514709</v>
      </c>
      <c r="CG129" s="473">
        <f t="shared" si="70"/>
        <v>1649.6946613218543</v>
      </c>
      <c r="CH129" s="474">
        <f t="shared" si="71"/>
        <v>638.55890025951294</v>
      </c>
      <c r="CI129" s="474">
        <f t="shared" si="72"/>
        <v>2641.5678354145912</v>
      </c>
      <c r="CJ129" s="474">
        <f t="shared" si="73"/>
        <v>3757.182993225998</v>
      </c>
      <c r="CK129" s="474">
        <f t="shared" si="74"/>
        <v>50.874008293218921</v>
      </c>
      <c r="CL129" s="474">
        <f t="shared" si="75"/>
        <v>8737.8783985151731</v>
      </c>
      <c r="CM129" s="576">
        <f t="shared" si="76"/>
        <v>0</v>
      </c>
    </row>
    <row r="130" spans="1:91" ht="15" thickBot="1">
      <c r="A130" s="141">
        <f>'Input data'!A150</f>
        <v>2050</v>
      </c>
      <c r="B130" s="593">
        <f>'Input data'!B150</f>
        <v>75.517908999999989</v>
      </c>
      <c r="C130" s="207">
        <f>'Input data'!C150</f>
        <v>8341.54221182129</v>
      </c>
      <c r="D130" s="208">
        <f>'Input data'!D150</f>
        <v>211173.65802485455</v>
      </c>
      <c r="E130" s="580">
        <f>C51</f>
        <v>1</v>
      </c>
      <c r="F130" s="581">
        <f>D51</f>
        <v>0.36725000000000002</v>
      </c>
      <c r="G130" s="595">
        <f>B130*F130*'Input data'!$C$9</f>
        <v>848.85557964503187</v>
      </c>
      <c r="H130" s="598">
        <f>'Input data'!I150</f>
        <v>424.26313389388866</v>
      </c>
      <c r="I130" s="595">
        <f>'Input data'!K150</f>
        <v>32039.464737453494</v>
      </c>
      <c r="J130" s="595">
        <f t="shared" si="95"/>
        <v>2228.8062963921584</v>
      </c>
      <c r="K130" s="589">
        <f t="shared" si="78"/>
        <v>12660.52403468097</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11855.844860771058</v>
      </c>
      <c r="AA130" s="589">
        <f t="shared" si="81"/>
        <v>9627.0385643788995</v>
      </c>
      <c r="AB130" s="941">
        <f t="shared" si="42"/>
        <v>0.81200780521623617</v>
      </c>
      <c r="AC130" s="951" t="str">
        <f t="shared" si="43"/>
        <v>Yes</v>
      </c>
      <c r="AD130" s="941">
        <f t="shared" si="44"/>
        <v>0.81200780521623617</v>
      </c>
      <c r="AE130" s="580">
        <f t="shared" si="11"/>
        <v>0.43255685448712144</v>
      </c>
      <c r="AF130" s="589">
        <f t="shared" si="45"/>
        <v>240.74520722189973</v>
      </c>
      <c r="AG130" s="598">
        <f t="shared" si="46"/>
        <v>2228.8062963921584</v>
      </c>
      <c r="AH130" s="595">
        <f t="shared" si="82"/>
        <v>8782.483869510148</v>
      </c>
      <c r="AI130" s="595">
        <f t="shared" si="83"/>
        <v>6437.6604656145792</v>
      </c>
      <c r="AJ130" s="595">
        <f t="shared" si="12"/>
        <v>731.62401965267998</v>
      </c>
      <c r="AK130" s="595">
        <f t="shared" si="47"/>
        <v>18180.574651169565</v>
      </c>
      <c r="AL130" s="641">
        <f t="shared" si="13"/>
        <v>0</v>
      </c>
      <c r="AM130" s="580">
        <f t="shared" si="48"/>
        <v>0.12259273093157032</v>
      </c>
      <c r="AN130" s="581">
        <f t="shared" si="49"/>
        <v>0.48306965197852897</v>
      </c>
      <c r="AO130" s="581">
        <f t="shared" si="50"/>
        <v>0.35409554368516294</v>
      </c>
      <c r="AP130" s="581">
        <f t="shared" si="51"/>
        <v>4.0242073404737747E-2</v>
      </c>
      <c r="AQ130" s="582">
        <f t="shared" si="52"/>
        <v>1</v>
      </c>
      <c r="AR130" s="598">
        <f t="shared" si="14"/>
        <v>420.40251974508266</v>
      </c>
      <c r="AS130" s="595">
        <f t="shared" si="15"/>
        <v>533.18412931103887</v>
      </c>
      <c r="AT130" s="595">
        <f t="shared" si="16"/>
        <v>165.14067072009269</v>
      </c>
      <c r="AU130" s="595">
        <f t="shared" si="17"/>
        <v>0</v>
      </c>
      <c r="AV130" s="595">
        <f t="shared" si="18"/>
        <v>0</v>
      </c>
      <c r="AW130" s="595">
        <f t="shared" si="19"/>
        <v>0</v>
      </c>
      <c r="AX130" s="595">
        <f t="shared" si="20"/>
        <v>702.89448679035161</v>
      </c>
      <c r="AY130" s="595">
        <f t="shared" si="21"/>
        <v>101.62251681416477</v>
      </c>
      <c r="AZ130" s="595">
        <f t="shared" si="22"/>
        <v>147.70780361738585</v>
      </c>
      <c r="BA130" s="595">
        <f t="shared" si="23"/>
        <v>129.84688482873898</v>
      </c>
      <c r="BB130" s="595">
        <f t="shared" si="24"/>
        <v>28.007284565301919</v>
      </c>
      <c r="BC130" s="589">
        <f t="shared" si="53"/>
        <v>2228.8062963921575</v>
      </c>
      <c r="BD130" s="648">
        <f t="shared" si="54"/>
        <v>0</v>
      </c>
      <c r="BE130" s="607">
        <f t="shared" si="55"/>
        <v>0.18862227750594662</v>
      </c>
      <c r="BF130" s="607">
        <f>AS130/BC130</f>
        <v>0.239224077109851</v>
      </c>
      <c r="BG130" s="607">
        <f t="shared" si="57"/>
        <v>7.4093774316508057E-2</v>
      </c>
      <c r="BH130" s="607">
        <f t="shared" si="58"/>
        <v>0</v>
      </c>
      <c r="BI130" s="607">
        <f t="shared" si="59"/>
        <v>0</v>
      </c>
      <c r="BJ130" s="607">
        <f t="shared" si="60"/>
        <v>0</v>
      </c>
      <c r="BK130" s="607">
        <f t="shared" si="61"/>
        <v>0.49805987106769423</v>
      </c>
      <c r="BL130" s="607">
        <f t="shared" si="62"/>
        <v>0.99999999999999989</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75.434309356233953</v>
      </c>
      <c r="BW130" s="581">
        <f t="shared" si="65"/>
        <v>0.78899855912050099</v>
      </c>
      <c r="BX130" s="1386">
        <f t="shared" si="25"/>
        <v>0.21117365802485455</v>
      </c>
      <c r="BY130" s="598">
        <f t="shared" si="66"/>
        <v>75.434309356233953</v>
      </c>
      <c r="BZ130" s="581">
        <f t="shared" si="67"/>
        <v>0.78899855912050099</v>
      </c>
      <c r="CA130" s="602">
        <f t="shared" si="26"/>
        <v>0.21117365802485455</v>
      </c>
      <c r="CB130" s="580">
        <f t="shared" si="27"/>
        <v>0.43255685448712144</v>
      </c>
      <c r="CC130" s="582">
        <f t="shared" si="68"/>
        <v>0.43069996963844281</v>
      </c>
      <c r="CD130" s="581">
        <f t="shared" si="28"/>
        <v>0.43255685448712144</v>
      </c>
      <c r="CE130" s="582">
        <f t="shared" si="69"/>
        <v>0.43069996963844281</v>
      </c>
      <c r="CG130" s="598">
        <f t="shared" si="70"/>
        <v>1658.1160885848681</v>
      </c>
      <c r="CH130" s="595">
        <f t="shared" si="71"/>
        <v>641.81864126357038</v>
      </c>
      <c r="CI130" s="595">
        <f t="shared" si="72"/>
        <v>2655.0526165124675</v>
      </c>
      <c r="CJ130" s="595">
        <f t="shared" si="73"/>
        <v>3776.362811184511</v>
      </c>
      <c r="CK130" s="595">
        <f t="shared" si="74"/>
        <v>51.13371196473107</v>
      </c>
      <c r="CL130" s="595">
        <f t="shared" si="75"/>
        <v>8782.483869510148</v>
      </c>
      <c r="CM130" s="583">
        <f t="shared" si="76"/>
        <v>0</v>
      </c>
    </row>
    <row r="131" spans="1:91">
      <c r="AL131" s="301"/>
      <c r="AM131" s="474"/>
      <c r="AN131" s="301"/>
      <c r="AO131" s="301"/>
      <c r="AP131" s="301"/>
      <c r="AS131" s="100"/>
    </row>
    <row r="132" spans="1:91" ht="23.4">
      <c r="A132" s="610" t="s">
        <v>637</v>
      </c>
      <c r="AL132" s="301"/>
      <c r="AM132" s="474"/>
      <c r="AO132" s="301"/>
      <c r="AS132" s="100"/>
    </row>
    <row r="133" spans="1:91" ht="15" thickBot="1">
      <c r="AL133" s="30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95"/>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589" t="s">
        <v>728</v>
      </c>
      <c r="AL134" s="1590"/>
      <c r="AM134" s="1590"/>
      <c r="AN134" s="1590"/>
      <c r="AO134" s="1591"/>
    </row>
    <row r="135" spans="1:91" ht="58.95" customHeight="1">
      <c r="A135" s="1520"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31"/>
      <c r="N135" s="454" t="s">
        <v>605</v>
      </c>
      <c r="O135" s="457" t="s">
        <v>606</v>
      </c>
      <c r="P135" s="1512"/>
      <c r="Q135" s="1514"/>
      <c r="R135" s="1514"/>
      <c r="S135" s="1514"/>
      <c r="T135" s="1546"/>
      <c r="U135" s="1579"/>
      <c r="V135" s="1516"/>
      <c r="W135" s="1518"/>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2"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4436.7667702664276</v>
      </c>
      <c r="D139" s="204">
        <f>'Input data'!D119</f>
        <v>53169997.747000799</v>
      </c>
      <c r="E139" s="473">
        <f>'Input data'!J119*C139</f>
        <v>53378.943448604135</v>
      </c>
      <c r="F139" s="474">
        <f>'Input data'!L119</f>
        <v>106548.94119560494</v>
      </c>
      <c r="G139" s="474">
        <f t="shared" ref="G139:G149" si="124">$G$137*(1+((($G$150/$G$137)^(1/($A$150-$A$137)))-1))^(A139-$A$137)</f>
        <v>61517.098453473154</v>
      </c>
      <c r="H139" s="474">
        <f t="shared" ref="H139:H170" si="125">E139*$B$12+I139*$E$80-G139</f>
        <v>19009.623966069645</v>
      </c>
      <c r="I139" s="475">
        <f t="shared" si="99"/>
        <v>53169.997747000802</v>
      </c>
      <c r="J139" s="100">
        <f t="shared" si="100"/>
        <v>7.3782491286642105E-2</v>
      </c>
      <c r="K139" s="474">
        <f t="shared" ref="K139:K170" si="126">(I139)*J139-(I139)*$J$137</f>
        <v>650.52177304088855</v>
      </c>
      <c r="L139" s="474">
        <f t="shared" si="101"/>
        <v>0</v>
      </c>
      <c r="M139" s="474">
        <f t="shared" ref="M139:M170" si="127">L139+K139</f>
        <v>650.52177304088855</v>
      </c>
      <c r="N139" s="579">
        <f>($N$142-$N$137)/($A$102-$A$97)+N138</f>
        <v>0.1</v>
      </c>
      <c r="O139" s="475">
        <f t="shared" si="102"/>
        <v>150.38340000000005</v>
      </c>
      <c r="P139" s="466">
        <f>O139+M139</f>
        <v>800.9051730408886</v>
      </c>
      <c r="Q139" s="467">
        <f t="shared" si="103"/>
        <v>79725.817246501916</v>
      </c>
      <c r="R139" s="467">
        <f t="shared" ref="R139:R170" si="128">Q139-G139</f>
        <v>18208.718793028762</v>
      </c>
      <c r="S139" s="938">
        <f t="shared" si="104"/>
        <v>0.59742175691691901</v>
      </c>
      <c r="T139" s="118" t="str">
        <f t="shared" si="105"/>
        <v>Yes</v>
      </c>
      <c r="U139" s="938">
        <f t="shared" si="106"/>
        <v>0.59742175691691901</v>
      </c>
      <c r="V139" s="1247">
        <f>AC139</f>
        <v>88340.222402576197</v>
      </c>
      <c r="W139" s="1244">
        <f t="shared" si="98"/>
        <v>0.17089535183273918</v>
      </c>
      <c r="X139" s="473">
        <f t="shared" si="107"/>
        <v>61517.098453473154</v>
      </c>
      <c r="Y139" s="474">
        <f t="shared" si="108"/>
        <v>8197.5014663891779</v>
      </c>
      <c r="Z139" s="474">
        <f t="shared" si="109"/>
        <v>2562.5510023172546</v>
      </c>
      <c r="AA139" s="474">
        <f t="shared" si="110"/>
        <v>0</v>
      </c>
      <c r="AB139" s="474">
        <f t="shared" si="111"/>
        <v>16063.071480396609</v>
      </c>
      <c r="AC139" s="474">
        <f t="shared" si="112"/>
        <v>88340.222402576197</v>
      </c>
      <c r="AD139" s="1240">
        <f t="shared" si="113"/>
        <v>0</v>
      </c>
      <c r="AE139" s="100">
        <f t="shared" si="114"/>
        <v>0.69636567330714783</v>
      </c>
      <c r="AF139" s="100">
        <f t="shared" si="115"/>
        <v>9.279466638687249E-2</v>
      </c>
      <c r="AG139" s="100">
        <f t="shared" si="116"/>
        <v>2.9007749048213002E-2</v>
      </c>
      <c r="AH139" s="100">
        <f t="shared" ref="AH139:AH170" si="129">AA139/AC139</f>
        <v>0</v>
      </c>
      <c r="AI139" s="100">
        <f t="shared" si="117"/>
        <v>0.18183191125776671</v>
      </c>
      <c r="AJ139" s="471">
        <f t="shared" si="118"/>
        <v>1</v>
      </c>
      <c r="AK139" s="1250">
        <f t="shared" si="119"/>
        <v>49246.982851521934</v>
      </c>
      <c r="AL139" s="1251">
        <f t="shared" si="120"/>
        <v>11469.05065292624</v>
      </c>
      <c r="AM139" s="1251">
        <f t="shared" si="121"/>
        <v>801.06494902497252</v>
      </c>
      <c r="AN139" s="1251">
        <f t="shared" si="122"/>
        <v>61517.098453473147</v>
      </c>
      <c r="AO139" s="1277">
        <f t="shared" si="123"/>
        <v>0</v>
      </c>
    </row>
    <row r="140" spans="1:91">
      <c r="A140" s="89">
        <f>'Input data'!A120</f>
        <v>2020</v>
      </c>
      <c r="B140" s="152">
        <f>'Input data'!B120</f>
        <v>59.308690000000006</v>
      </c>
      <c r="C140" s="204">
        <f>'Input data'!C120</f>
        <v>4197.6296598339768</v>
      </c>
      <c r="D140" s="204">
        <f>'Input data'!D120</f>
        <v>50963260.465782054</v>
      </c>
      <c r="E140" s="473">
        <f>'Input data'!J120*C140</f>
        <v>50501.873961927049</v>
      </c>
      <c r="F140" s="474">
        <f>'Input data'!L120</f>
        <v>101465.1344277091</v>
      </c>
      <c r="G140" s="474">
        <f t="shared" si="124"/>
        <v>58322.977791126912</v>
      </c>
      <c r="H140" s="474">
        <f t="shared" si="125"/>
        <v>18481.944081089277</v>
      </c>
      <c r="I140" s="475">
        <f t="shared" si="99"/>
        <v>50963.260465782056</v>
      </c>
      <c r="J140" s="100">
        <f t="shared" si="100"/>
        <v>8.0783733850016193E-2</v>
      </c>
      <c r="K140" s="474">
        <f t="shared" si="126"/>
        <v>980.32903649147011</v>
      </c>
      <c r="L140" s="474">
        <f t="shared" si="101"/>
        <v>0</v>
      </c>
      <c r="M140" s="474">
        <f t="shared" si="127"/>
        <v>980.32903649147011</v>
      </c>
      <c r="N140" s="579">
        <f>($N$142-$N$137)/($A$102-$A$97)+N139</f>
        <v>0.15000000000000002</v>
      </c>
      <c r="O140" s="475">
        <f t="shared" si="102"/>
        <v>225.57510000000011</v>
      </c>
      <c r="P140" s="466">
        <f t="shared" ref="P140:P170" si="130">O140+M140</f>
        <v>1205.9041364914701</v>
      </c>
      <c r="Q140" s="467">
        <f t="shared" si="103"/>
        <v>75599.017735724716</v>
      </c>
      <c r="R140" s="467">
        <f t="shared" si="128"/>
        <v>17276.039944597804</v>
      </c>
      <c r="S140" s="938">
        <f t="shared" si="104"/>
        <v>0.60084806123290502</v>
      </c>
      <c r="T140" s="118" t="str">
        <f t="shared" si="105"/>
        <v>Yes</v>
      </c>
      <c r="U140" s="938">
        <f t="shared" si="106"/>
        <v>0.60084806123290502</v>
      </c>
      <c r="V140" s="1247">
        <f t="shared" si="97"/>
        <v>84189.094483111301</v>
      </c>
      <c r="W140" s="1244">
        <f t="shared" si="98"/>
        <v>0.17026577692957634</v>
      </c>
      <c r="X140" s="473">
        <f t="shared" si="107"/>
        <v>58322.977791126912</v>
      </c>
      <c r="Y140" s="474">
        <f t="shared" si="108"/>
        <v>8161.0986638931799</v>
      </c>
      <c r="Z140" s="474">
        <f t="shared" si="109"/>
        <v>2507.7293795159117</v>
      </c>
      <c r="AA140" s="474">
        <f t="shared" si="110"/>
        <v>0</v>
      </c>
      <c r="AB140" s="474">
        <f t="shared" si="111"/>
        <v>15197.288648575301</v>
      </c>
      <c r="AC140" s="474">
        <f t="shared" si="112"/>
        <v>84189.094483111301</v>
      </c>
      <c r="AD140" s="1240">
        <f t="shared" si="113"/>
        <v>0</v>
      </c>
      <c r="AE140" s="100">
        <f t="shared" si="114"/>
        <v>0.69276167120228094</v>
      </c>
      <c r="AF140" s="100">
        <f t="shared" si="115"/>
        <v>9.6937717574932844E-2</v>
      </c>
      <c r="AG140" s="100">
        <f t="shared" si="116"/>
        <v>2.9786867229210704E-2</v>
      </c>
      <c r="AH140" s="100">
        <f t="shared" si="129"/>
        <v>0</v>
      </c>
      <c r="AI140" s="100">
        <f t="shared" si="117"/>
        <v>0.18051374399357559</v>
      </c>
      <c r="AJ140" s="471">
        <f t="shared" si="118"/>
        <v>1.0000000000000002</v>
      </c>
      <c r="AK140" s="1250">
        <f t="shared" si="119"/>
        <v>46846.257996185261</v>
      </c>
      <c r="AL140" s="1251">
        <f t="shared" si="120"/>
        <v>10758.529969538889</v>
      </c>
      <c r="AM140" s="1251">
        <f t="shared" si="121"/>
        <v>718.18982540275408</v>
      </c>
      <c r="AN140" s="1251">
        <f t="shared" si="122"/>
        <v>58322.977791126905</v>
      </c>
      <c r="AO140" s="1277">
        <f t="shared" si="123"/>
        <v>0</v>
      </c>
    </row>
    <row r="141" spans="1:91">
      <c r="A141" s="89">
        <f>'Input data'!A121</f>
        <v>2021</v>
      </c>
      <c r="B141" s="152">
        <f>'Input data'!B121</f>
        <v>59.991580449204264</v>
      </c>
      <c r="C141" s="204">
        <f>'Input data'!C121</f>
        <v>4326.0661578199733</v>
      </c>
      <c r="D141" s="204">
        <f>'Input data'!D121</f>
        <v>50546075.397081107</v>
      </c>
      <c r="E141" s="473">
        <f>'Input data'!J121*C141</f>
        <v>52047.099329344681</v>
      </c>
      <c r="F141" s="474">
        <f>'Input data'!L121</f>
        <v>102593.17472642579</v>
      </c>
      <c r="G141" s="474">
        <f t="shared" si="124"/>
        <v>55294.7038130703</v>
      </c>
      <c r="H141" s="474">
        <f t="shared" si="125"/>
        <v>22005.371105425438</v>
      </c>
      <c r="I141" s="475">
        <f t="shared" si="99"/>
        <v>50546.075397081106</v>
      </c>
      <c r="J141" s="100">
        <f t="shared" si="100"/>
        <v>8.8449326404511766E-2</v>
      </c>
      <c r="K141" s="474">
        <f t="shared" si="126"/>
        <v>1359.769685712381</v>
      </c>
      <c r="L141" s="474">
        <f t="shared" si="101"/>
        <v>0</v>
      </c>
      <c r="M141" s="474">
        <f t="shared" si="127"/>
        <v>1359.769685712381</v>
      </c>
      <c r="N141" s="579">
        <f>($N$142-$N$137)/($A$102-$A$97)+N140</f>
        <v>0.2</v>
      </c>
      <c r="O141" s="475">
        <f t="shared" si="102"/>
        <v>300.7668000000001</v>
      </c>
      <c r="P141" s="466">
        <f t="shared" si="130"/>
        <v>1660.5364857123811</v>
      </c>
      <c r="Q141" s="467">
        <f t="shared" si="103"/>
        <v>75639.53843278336</v>
      </c>
      <c r="R141" s="467">
        <f t="shared" si="128"/>
        <v>20344.83461971306</v>
      </c>
      <c r="S141" s="938">
        <f t="shared" si="104"/>
        <v>0.68815710952802278</v>
      </c>
      <c r="T141" s="118" t="str">
        <f t="shared" si="105"/>
        <v>Yes</v>
      </c>
      <c r="U141" s="938">
        <f t="shared" si="106"/>
        <v>0.68815710952802278</v>
      </c>
      <c r="V141" s="1247">
        <f t="shared" si="97"/>
        <v>82248.340106712727</v>
      </c>
      <c r="W141" s="1244">
        <f t="shared" si="98"/>
        <v>0.19830592701672844</v>
      </c>
      <c r="X141" s="473">
        <f t="shared" si="107"/>
        <v>55294.7038130703</v>
      </c>
      <c r="Y141" s="474">
        <f t="shared" si="108"/>
        <v>8638.6012907272125</v>
      </c>
      <c r="Z141" s="474">
        <f t="shared" si="109"/>
        <v>2652.7490365483027</v>
      </c>
      <c r="AA141" s="474">
        <f t="shared" si="110"/>
        <v>0</v>
      </c>
      <c r="AB141" s="474">
        <f t="shared" si="111"/>
        <v>15662.285966366921</v>
      </c>
      <c r="AC141" s="474">
        <f t="shared" si="112"/>
        <v>82248.340106712727</v>
      </c>
      <c r="AD141" s="1240">
        <f t="shared" si="113"/>
        <v>0</v>
      </c>
      <c r="AE141" s="100">
        <f t="shared" si="114"/>
        <v>0.67228960172726215</v>
      </c>
      <c r="AF141" s="100">
        <f t="shared" si="115"/>
        <v>0.1050307067537059</v>
      </c>
      <c r="AG141" s="100">
        <f t="shared" si="116"/>
        <v>3.2252918820082029E-2</v>
      </c>
      <c r="AH141" s="100">
        <f t="shared" si="129"/>
        <v>0</v>
      </c>
      <c r="AI141" s="100">
        <f t="shared" si="117"/>
        <v>0.19042677269895003</v>
      </c>
      <c r="AJ141" s="471">
        <f t="shared" si="118"/>
        <v>1.0000000000000002</v>
      </c>
      <c r="AK141" s="1250">
        <f t="shared" si="119"/>
        <v>46075.309075817619</v>
      </c>
      <c r="AL141" s="1251">
        <f t="shared" si="120"/>
        <v>8662.4267471945077</v>
      </c>
      <c r="AM141" s="1251">
        <f t="shared" si="121"/>
        <v>556.96799005817104</v>
      </c>
      <c r="AN141" s="1251">
        <f t="shared" si="122"/>
        <v>55294.703813070293</v>
      </c>
      <c r="AO141" s="1277">
        <f t="shared" si="123"/>
        <v>0</v>
      </c>
    </row>
    <row r="142" spans="1:91">
      <c r="A142" s="89">
        <f>'Input data'!A122</f>
        <v>2022</v>
      </c>
      <c r="B142" s="152">
        <f>'Input data'!B122</f>
        <v>60.682333816399378</v>
      </c>
      <c r="C142" s="204">
        <f>'Input data'!C122</f>
        <v>4414.4786843532656</v>
      </c>
      <c r="D142" s="204">
        <f>'Input data'!D122</f>
        <v>50359792.84713313</v>
      </c>
      <c r="E142" s="473">
        <f>'Input data'!J122*C142</f>
        <v>53110.794470048553</v>
      </c>
      <c r="F142" s="474">
        <f>'Input data'!L122</f>
        <v>103470.58731718169</v>
      </c>
      <c r="G142" s="474">
        <f t="shared" si="124"/>
        <v>52423.665347216396</v>
      </c>
      <c r="H142" s="474">
        <f t="shared" si="125"/>
        <v>25311.948135988576</v>
      </c>
      <c r="I142" s="475">
        <f t="shared" si="99"/>
        <v>50359.792847133132</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75582.227712946144</v>
      </c>
      <c r="R142" s="467">
        <f t="shared" si="128"/>
        <v>23158.562365729747</v>
      </c>
      <c r="S142" s="938">
        <f t="shared" si="104"/>
        <v>0.76940295704768236</v>
      </c>
      <c r="T142" s="118" t="str">
        <f t="shared" si="105"/>
        <v>Yes</v>
      </c>
      <c r="U142" s="938">
        <f t="shared" si="106"/>
        <v>0.76940295704768236</v>
      </c>
      <c r="V142" s="1247">
        <f t="shared" si="97"/>
        <v>80312.024951451953</v>
      </c>
      <c r="W142" s="1244">
        <f t="shared" si="98"/>
        <v>0.22381783042111114</v>
      </c>
      <c r="X142" s="473">
        <f t="shared" si="107"/>
        <v>52423.665347216396</v>
      </c>
      <c r="Y142" s="474">
        <f t="shared" si="108"/>
        <v>9129.9723352621659</v>
      </c>
      <c r="Z142" s="474">
        <f t="shared" si="109"/>
        <v>2776.0085848679064</v>
      </c>
      <c r="AA142" s="474">
        <f t="shared" si="110"/>
        <v>0</v>
      </c>
      <c r="AB142" s="474">
        <f t="shared" si="111"/>
        <v>15982.378684105484</v>
      </c>
      <c r="AC142" s="474">
        <f t="shared" si="112"/>
        <v>80312.024951451953</v>
      </c>
      <c r="AD142" s="1240">
        <f t="shared" si="113"/>
        <v>0</v>
      </c>
      <c r="AE142" s="100">
        <f t="shared" si="114"/>
        <v>0.65274988868611061</v>
      </c>
      <c r="AF142" s="100">
        <f t="shared" si="115"/>
        <v>0.11368126181329843</v>
      </c>
      <c r="AG142" s="100">
        <f t="shared" si="116"/>
        <v>3.4565291891793089E-2</v>
      </c>
      <c r="AH142" s="100">
        <f t="shared" si="129"/>
        <v>0</v>
      </c>
      <c r="AI142" s="100">
        <f t="shared" si="117"/>
        <v>0.19900355760879793</v>
      </c>
      <c r="AJ142" s="471">
        <f t="shared" si="118"/>
        <v>1</v>
      </c>
      <c r="AK142" s="1250">
        <f t="shared" si="119"/>
        <v>45482.834211012232</v>
      </c>
      <c r="AL142" s="1251">
        <f t="shared" si="120"/>
        <v>6536.4768747678199</v>
      </c>
      <c r="AM142" s="1251">
        <f t="shared" si="121"/>
        <v>404.35426143634237</v>
      </c>
      <c r="AN142" s="1251">
        <f t="shared" si="122"/>
        <v>52423.665347216389</v>
      </c>
      <c r="AO142" s="1277">
        <f t="shared" si="123"/>
        <v>0</v>
      </c>
    </row>
    <row r="143" spans="1:91">
      <c r="A143" s="89">
        <f>'Input data'!A123</f>
        <v>2023</v>
      </c>
      <c r="B143" s="152">
        <f>'Input data'!B123</f>
        <v>61.381040636574369</v>
      </c>
      <c r="C143" s="204">
        <f>'Input data'!C123</f>
        <v>4492.6346436826334</v>
      </c>
      <c r="D143" s="204">
        <f>'Input data'!D123</f>
        <v>48665382.683029473</v>
      </c>
      <c r="E143" s="473">
        <f>'Input data'!J123*C143</f>
        <v>54051.092382747534</v>
      </c>
      <c r="F143" s="474">
        <f>'Input data'!L123</f>
        <v>102716.47506577701</v>
      </c>
      <c r="G143" s="474">
        <f t="shared" si="124"/>
        <v>49701.698334937471</v>
      </c>
      <c r="H143" s="474">
        <f t="shared" si="125"/>
        <v>26983.341734999929</v>
      </c>
      <c r="I143" s="475">
        <f t="shared" si="99"/>
        <v>48665.382683029471</v>
      </c>
      <c r="J143" s="100">
        <f t="shared" si="100"/>
        <v>0.10603170487993842</v>
      </c>
      <c r="K143" s="474">
        <f t="shared" si="126"/>
        <v>2164.8292425074233</v>
      </c>
      <c r="L143" s="474">
        <f t="shared" si="101"/>
        <v>0</v>
      </c>
      <c r="M143" s="474">
        <f t="shared" si="127"/>
        <v>2164.8292425074233</v>
      </c>
      <c r="N143" s="579">
        <f>($N$147-$N$142)/($A$107-$A$102)+N142</f>
        <v>0.3</v>
      </c>
      <c r="O143" s="475">
        <f t="shared" si="102"/>
        <v>451.15020000000015</v>
      </c>
      <c r="P143" s="466">
        <f t="shared" si="130"/>
        <v>2615.9794425074233</v>
      </c>
      <c r="Q143" s="467">
        <f t="shared" si="103"/>
        <v>74069.060627429979</v>
      </c>
      <c r="R143" s="467">
        <f t="shared" si="128"/>
        <v>24367.362292492508</v>
      </c>
      <c r="S143" s="938">
        <f t="shared" si="104"/>
        <v>0.79726346228119105</v>
      </c>
      <c r="T143" s="118" t="str">
        <f t="shared" si="105"/>
        <v>Yes</v>
      </c>
      <c r="U143" s="938">
        <f t="shared" si="106"/>
        <v>0.79726346228119105</v>
      </c>
      <c r="V143" s="1247">
        <f t="shared" si="97"/>
        <v>78349.11277328452</v>
      </c>
      <c r="W143" s="1244">
        <f t="shared" si="98"/>
        <v>0.23722934686853547</v>
      </c>
      <c r="X143" s="473">
        <f t="shared" si="107"/>
        <v>49701.698334937471</v>
      </c>
      <c r="Y143" s="474">
        <f t="shared" si="108"/>
        <v>9488.3845026864292</v>
      </c>
      <c r="Z143" s="474">
        <f t="shared" si="109"/>
        <v>2893.6918745285916</v>
      </c>
      <c r="AA143" s="474">
        <f t="shared" si="110"/>
        <v>0</v>
      </c>
      <c r="AB143" s="474">
        <f t="shared" si="111"/>
        <v>16265.338061132017</v>
      </c>
      <c r="AC143" s="474">
        <f t="shared" si="112"/>
        <v>78349.11277328452</v>
      </c>
      <c r="AD143" s="1240">
        <f t="shared" si="113"/>
        <v>0</v>
      </c>
      <c r="AE143" s="100">
        <f t="shared" si="114"/>
        <v>0.63436198031695845</v>
      </c>
      <c r="AF143" s="100">
        <f t="shared" si="115"/>
        <v>0.1211039176683795</v>
      </c>
      <c r="AG143" s="100">
        <f t="shared" si="116"/>
        <v>3.6933307501540495E-2</v>
      </c>
      <c r="AH143" s="100">
        <f t="shared" si="129"/>
        <v>0</v>
      </c>
      <c r="AI143" s="100">
        <f t="shared" si="117"/>
        <v>0.20760079451312144</v>
      </c>
      <c r="AJ143" s="471">
        <f t="shared" si="118"/>
        <v>0.99999999999999978</v>
      </c>
      <c r="AK143" s="1250">
        <f t="shared" si="119"/>
        <v>43505.309188513223</v>
      </c>
      <c r="AL143" s="1251">
        <f t="shared" si="120"/>
        <v>5848.4892804827086</v>
      </c>
      <c r="AM143" s="1251">
        <f t="shared" si="121"/>
        <v>347.89986594153726</v>
      </c>
      <c r="AN143" s="1251">
        <f t="shared" si="122"/>
        <v>49701.698334937471</v>
      </c>
      <c r="AO143" s="1277">
        <f t="shared" si="123"/>
        <v>0</v>
      </c>
    </row>
    <row r="144" spans="1:91">
      <c r="A144" s="89">
        <f>'Input data'!A124</f>
        <v>2024</v>
      </c>
      <c r="B144" s="152">
        <f>'Input data'!B124</f>
        <v>62.087792487153699</v>
      </c>
      <c r="C144" s="204">
        <f>'Input data'!C124</f>
        <v>4579.7873251148294</v>
      </c>
      <c r="D144" s="204">
        <f>'Input data'!D124</f>
        <v>48951332.662830688</v>
      </c>
      <c r="E144" s="473">
        <f>'Input data'!J124*C144</f>
        <v>55099.630269557405</v>
      </c>
      <c r="F144" s="474">
        <f>'Input data'!L124</f>
        <v>104050.96293238809</v>
      </c>
      <c r="G144" s="474">
        <f t="shared" si="124"/>
        <v>47121.062615822855</v>
      </c>
      <c r="H144" s="474">
        <f t="shared" si="125"/>
        <v>30433.986364075754</v>
      </c>
      <c r="I144" s="475">
        <f t="shared" si="99"/>
        <v>48951.33266283069</v>
      </c>
      <c r="J144" s="100">
        <f t="shared" si="100"/>
        <v>0.11609308492183117</v>
      </c>
      <c r="K144" s="474">
        <f t="shared" si="126"/>
        <v>2670.067393245889</v>
      </c>
      <c r="L144" s="474">
        <f t="shared" si="101"/>
        <v>0</v>
      </c>
      <c r="M144" s="474">
        <f t="shared" si="127"/>
        <v>2670.067393245889</v>
      </c>
      <c r="N144" s="579">
        <f>($N$147-$N$142)/($A$107-$A$102)+N143</f>
        <v>0.35</v>
      </c>
      <c r="O144" s="475">
        <f t="shared" si="102"/>
        <v>526.34190000000012</v>
      </c>
      <c r="P144" s="466">
        <f t="shared" si="130"/>
        <v>3196.4092932458889</v>
      </c>
      <c r="Q144" s="467">
        <f t="shared" si="103"/>
        <v>74358.639686652721</v>
      </c>
      <c r="R144" s="467">
        <f t="shared" si="128"/>
        <v>27237.577070829866</v>
      </c>
      <c r="S144" s="938">
        <f t="shared" si="104"/>
        <v>0.87608188714990654</v>
      </c>
      <c r="T144" s="118" t="str">
        <f t="shared" si="105"/>
        <v>Yes</v>
      </c>
      <c r="U144" s="938">
        <f t="shared" si="106"/>
        <v>0.87608188714990654</v>
      </c>
      <c r="V144" s="1247">
        <f t="shared" si="97"/>
        <v>76813.385861558243</v>
      </c>
      <c r="W144" s="1244">
        <f t="shared" si="98"/>
        <v>0.26177150410927696</v>
      </c>
      <c r="X144" s="473">
        <f t="shared" si="107"/>
        <v>47121.062615822855</v>
      </c>
      <c r="Y144" s="474">
        <f t="shared" si="108"/>
        <v>10095.187192992911</v>
      </c>
      <c r="Z144" s="474">
        <f t="shared" si="109"/>
        <v>3016.266474169538</v>
      </c>
      <c r="AA144" s="474">
        <f t="shared" si="110"/>
        <v>0</v>
      </c>
      <c r="AB144" s="474">
        <f t="shared" si="111"/>
        <v>16580.869578572932</v>
      </c>
      <c r="AC144" s="474">
        <f t="shared" si="112"/>
        <v>76813.385861558243</v>
      </c>
      <c r="AD144" s="1240">
        <f t="shared" si="113"/>
        <v>0</v>
      </c>
      <c r="AE144" s="100">
        <f t="shared" si="114"/>
        <v>0.61344858174524108</v>
      </c>
      <c r="AF144" s="100">
        <f t="shared" si="115"/>
        <v>0.13142484320620362</v>
      </c>
      <c r="AG144" s="100">
        <f t="shared" si="116"/>
        <v>3.9267458924487381E-2</v>
      </c>
      <c r="AH144" s="100">
        <f t="shared" si="129"/>
        <v>0</v>
      </c>
      <c r="AI144" s="100">
        <f t="shared" si="117"/>
        <v>0.21585911612406786</v>
      </c>
      <c r="AJ144" s="471">
        <f t="shared" si="118"/>
        <v>0.99999999999999989</v>
      </c>
      <c r="AK144" s="1250">
        <f t="shared" si="119"/>
        <v>43268.421442967876</v>
      </c>
      <c r="AL144" s="1251">
        <f t="shared" si="120"/>
        <v>3644.1032439404253</v>
      </c>
      <c r="AM144" s="1251">
        <f t="shared" si="121"/>
        <v>208.53792891454634</v>
      </c>
      <c r="AN144" s="1251">
        <f t="shared" si="122"/>
        <v>47121.062615822848</v>
      </c>
      <c r="AO144" s="1277">
        <f t="shared" si="123"/>
        <v>0</v>
      </c>
    </row>
    <row r="145" spans="1:41">
      <c r="A145" s="89">
        <f>'Input data'!A125</f>
        <v>2025</v>
      </c>
      <c r="B145" s="152">
        <f>'Input data'!B125</f>
        <v>62.802682000000026</v>
      </c>
      <c r="C145" s="204">
        <f>'Input data'!C125</f>
        <v>4678.6267528880244</v>
      </c>
      <c r="D145" s="204">
        <f>'Input data'!D125</f>
        <v>48538822.712079689</v>
      </c>
      <c r="E145" s="473">
        <f>'Input data'!J125*C145</f>
        <v>56288.771934824821</v>
      </c>
      <c r="F145" s="474">
        <f>'Input data'!L125</f>
        <v>104827.5946469045</v>
      </c>
      <c r="G145" s="474">
        <f t="shared" si="124"/>
        <v>44674.419917829786</v>
      </c>
      <c r="H145" s="474">
        <f t="shared" si="125"/>
        <v>33175.846119843845</v>
      </c>
      <c r="I145" s="475">
        <f t="shared" si="99"/>
        <v>48538.822712079687</v>
      </c>
      <c r="J145" s="100">
        <f t="shared" si="100"/>
        <v>0.12710919231119061</v>
      </c>
      <c r="K145" s="474">
        <f t="shared" si="126"/>
        <v>3182.2757786683292</v>
      </c>
      <c r="L145" s="474">
        <f t="shared" si="101"/>
        <v>0</v>
      </c>
      <c r="M145" s="474">
        <f t="shared" si="127"/>
        <v>3182.2757786683292</v>
      </c>
      <c r="N145" s="579">
        <f>($N$147-$N$142)/($A$107-$A$102)+N144</f>
        <v>0.39999999999999997</v>
      </c>
      <c r="O145" s="475">
        <f t="shared" si="102"/>
        <v>601.53360000000009</v>
      </c>
      <c r="P145" s="466">
        <f t="shared" si="130"/>
        <v>3783.8093786683294</v>
      </c>
      <c r="Q145" s="467">
        <f t="shared" si="103"/>
        <v>74066.4566590053</v>
      </c>
      <c r="R145" s="467">
        <f t="shared" si="128"/>
        <v>29392.036741175514</v>
      </c>
      <c r="S145" s="938">
        <f t="shared" si="104"/>
        <v>0.9272706802928804</v>
      </c>
      <c r="T145" s="118" t="str">
        <f t="shared" si="105"/>
        <v>Yes</v>
      </c>
      <c r="U145" s="938">
        <f t="shared" si="106"/>
        <v>0.9272706802928804</v>
      </c>
      <c r="V145" s="1247">
        <f t="shared" si="97"/>
        <v>75435.557905728987</v>
      </c>
      <c r="W145" s="1244">
        <f t="shared" si="98"/>
        <v>0.28038453844312683</v>
      </c>
      <c r="X145" s="473">
        <f t="shared" si="107"/>
        <v>44674.419917829786</v>
      </c>
      <c r="Y145" s="474">
        <f t="shared" si="108"/>
        <v>10677.230777983976</v>
      </c>
      <c r="Z145" s="474">
        <f t="shared" si="109"/>
        <v>3145.1948878286516</v>
      </c>
      <c r="AA145" s="474">
        <f t="shared" si="110"/>
        <v>0</v>
      </c>
      <c r="AB145" s="474">
        <f t="shared" si="111"/>
        <v>16938.71232208658</v>
      </c>
      <c r="AC145" s="474">
        <f t="shared" si="112"/>
        <v>75435.557905728987</v>
      </c>
      <c r="AD145" s="1240">
        <f t="shared" si="113"/>
        <v>0</v>
      </c>
      <c r="AE145" s="100">
        <f t="shared" si="114"/>
        <v>0.59221965288119072</v>
      </c>
      <c r="AF145" s="100">
        <f t="shared" si="115"/>
        <v>0.14154108585406364</v>
      </c>
      <c r="AG145" s="100">
        <f t="shared" si="116"/>
        <v>4.1693797661829027E-2</v>
      </c>
      <c r="AH145" s="100">
        <f t="shared" si="129"/>
        <v>0</v>
      </c>
      <c r="AI145" s="100">
        <f t="shared" si="117"/>
        <v>0.22454546360291666</v>
      </c>
      <c r="AJ145" s="471">
        <f t="shared" si="118"/>
        <v>1</v>
      </c>
      <c r="AK145" s="1250">
        <f t="shared" si="119"/>
        <v>42369.092161411165</v>
      </c>
      <c r="AL145" s="1251">
        <f t="shared" si="120"/>
        <v>2184.9348721968845</v>
      </c>
      <c r="AM145" s="1251">
        <f t="shared" si="121"/>
        <v>120.39288422174172</v>
      </c>
      <c r="AN145" s="1251">
        <f t="shared" si="122"/>
        <v>44674.419917829793</v>
      </c>
      <c r="AO145" s="1277">
        <f t="shared" si="123"/>
        <v>0</v>
      </c>
    </row>
    <row r="146" spans="1:41">
      <c r="A146" s="89">
        <f>'Input data'!A126</f>
        <v>2026</v>
      </c>
      <c r="B146" s="152">
        <f>'Input data'!B126</f>
        <v>63.421065342005143</v>
      </c>
      <c r="C146" s="204">
        <f>'Input data'!C126</f>
        <v>4782.707139404285</v>
      </c>
      <c r="D146" s="204">
        <f>'Input data'!D126</f>
        <v>47372560.213695109</v>
      </c>
      <c r="E146" s="473">
        <f>'Input data'!J126*C146</f>
        <v>57540.967813858311</v>
      </c>
      <c r="F146" s="474">
        <f>'Input data'!L126</f>
        <v>104913.52802755342</v>
      </c>
      <c r="G146" s="474">
        <f t="shared" si="124"/>
        <v>42354.812990240433</v>
      </c>
      <c r="H146" s="474">
        <f t="shared" si="125"/>
        <v>35119.49027913039</v>
      </c>
      <c r="I146" s="475">
        <f t="shared" si="99"/>
        <v>47372.560213695106</v>
      </c>
      <c r="J146" s="100">
        <f t="shared" si="100"/>
        <v>0.13917062141024203</v>
      </c>
      <c r="K146" s="474">
        <f t="shared" si="126"/>
        <v>3677.1946901177807</v>
      </c>
      <c r="L146" s="474">
        <f t="shared" si="101"/>
        <v>0</v>
      </c>
      <c r="M146" s="474">
        <f t="shared" si="127"/>
        <v>3677.1946901177807</v>
      </c>
      <c r="N146" s="579">
        <f>($N$147-$N$142)/($A$107-$A$102)+N145</f>
        <v>0.44999999999999996</v>
      </c>
      <c r="O146" s="475">
        <f t="shared" si="102"/>
        <v>676.72530000000006</v>
      </c>
      <c r="P146" s="466">
        <f t="shared" si="130"/>
        <v>4353.9199901177808</v>
      </c>
      <c r="Q146" s="467">
        <f t="shared" si="103"/>
        <v>73120.383279253045</v>
      </c>
      <c r="R146" s="467">
        <f t="shared" si="128"/>
        <v>30765.570289012612</v>
      </c>
      <c r="S146" s="938">
        <f t="shared" si="104"/>
        <v>0.9512959885494493</v>
      </c>
      <c r="T146" s="118" t="str">
        <f t="shared" si="105"/>
        <v>Yes</v>
      </c>
      <c r="U146" s="938">
        <f t="shared" si="106"/>
        <v>0.9512959885494493</v>
      </c>
      <c r="V146" s="1247">
        <f t="shared" si="97"/>
        <v>74147.957738540819</v>
      </c>
      <c r="W146" s="1244">
        <f t="shared" si="98"/>
        <v>0.29324693266375179</v>
      </c>
      <c r="X146" s="473">
        <f t="shared" si="107"/>
        <v>42354.812990240433</v>
      </c>
      <c r="Y146" s="474">
        <f t="shared" si="108"/>
        <v>11200.642388468463</v>
      </c>
      <c r="Z146" s="474">
        <f t="shared" si="109"/>
        <v>3276.9726896886114</v>
      </c>
      <c r="AA146" s="474">
        <f t="shared" si="110"/>
        <v>0</v>
      </c>
      <c r="AB146" s="474">
        <f t="shared" si="111"/>
        <v>17315.529670143307</v>
      </c>
      <c r="AC146" s="474">
        <f t="shared" si="112"/>
        <v>74147.957738540819</v>
      </c>
      <c r="AD146" s="1240">
        <f t="shared" si="113"/>
        <v>0</v>
      </c>
      <c r="AE146" s="100">
        <f t="shared" si="114"/>
        <v>0.57122022348331158</v>
      </c>
      <c r="AF146" s="100">
        <f t="shared" si="115"/>
        <v>0.15105800254086518</v>
      </c>
      <c r="AG146" s="100">
        <f t="shared" si="116"/>
        <v>4.4195049865618861E-2</v>
      </c>
      <c r="AH146" s="100">
        <f t="shared" si="129"/>
        <v>0</v>
      </c>
      <c r="AI146" s="100">
        <f t="shared" si="117"/>
        <v>0.23352672411020425</v>
      </c>
      <c r="AJ146" s="471">
        <f t="shared" si="118"/>
        <v>0.99999999999999989</v>
      </c>
      <c r="AK146" s="1250">
        <f t="shared" si="119"/>
        <v>40779.691570961048</v>
      </c>
      <c r="AL146" s="1251">
        <f t="shared" si="120"/>
        <v>1495.7158378826043</v>
      </c>
      <c r="AM146" s="1251">
        <f t="shared" si="121"/>
        <v>79.405581396778629</v>
      </c>
      <c r="AN146" s="1251">
        <f t="shared" si="122"/>
        <v>42354.812990240433</v>
      </c>
      <c r="AO146" s="1277">
        <f t="shared" si="123"/>
        <v>0</v>
      </c>
    </row>
    <row r="147" spans="1:41">
      <c r="A147" s="89">
        <f>'Input data'!A127</f>
        <v>2027</v>
      </c>
      <c r="B147" s="152">
        <f>'Input data'!B127</f>
        <v>64.045537563425796</v>
      </c>
      <c r="C147" s="204">
        <f>'Input data'!C127</f>
        <v>4895.4664822406658</v>
      </c>
      <c r="D147" s="204">
        <f>'Input data'!D127</f>
        <v>47544656.205152296</v>
      </c>
      <c r="E147" s="473">
        <f>'Input data'!J127*C147</f>
        <v>58897.58061237228</v>
      </c>
      <c r="F147" s="474">
        <f>'Input data'!L127</f>
        <v>106442.23681752456</v>
      </c>
      <c r="G147" s="474">
        <f t="shared" si="124"/>
        <v>40155.6458200876</v>
      </c>
      <c r="H147" s="474">
        <f t="shared" si="125"/>
        <v>38258.595404161933</v>
      </c>
      <c r="I147" s="475">
        <f t="shared" si="99"/>
        <v>47544.656205152292</v>
      </c>
      <c r="J147" s="100">
        <f t="shared" si="100"/>
        <v>0.15237656310721223</v>
      </c>
      <c r="K147" s="474">
        <f t="shared" si="126"/>
        <v>4318.4252349433409</v>
      </c>
      <c r="L147" s="474">
        <f t="shared" si="101"/>
        <v>0</v>
      </c>
      <c r="M147" s="474">
        <f t="shared" si="127"/>
        <v>4318.4252349433409</v>
      </c>
      <c r="N147" s="579">
        <f>$C$27</f>
        <v>0.5</v>
      </c>
      <c r="O147" s="475">
        <f t="shared" si="102"/>
        <v>751.91700000000026</v>
      </c>
      <c r="P147" s="466">
        <f t="shared" si="130"/>
        <v>5070.3422349433413</v>
      </c>
      <c r="Q147" s="467">
        <f t="shared" si="103"/>
        <v>73343.898989306195</v>
      </c>
      <c r="R147" s="467">
        <f t="shared" si="128"/>
        <v>33188.253169218595</v>
      </c>
      <c r="S147" s="938">
        <f t="shared" si="104"/>
        <v>1.004367490808237</v>
      </c>
      <c r="T147" s="118" t="str">
        <f t="shared" si="105"/>
        <v>No</v>
      </c>
      <c r="U147" s="938">
        <f t="shared" si="106"/>
        <v>1</v>
      </c>
      <c r="V147" s="1247">
        <f t="shared" si="97"/>
        <v>73398.302726715585</v>
      </c>
      <c r="W147" s="1244">
        <f t="shared" si="98"/>
        <v>0.31044005724397417</v>
      </c>
      <c r="X147" s="473">
        <f t="shared" si="107"/>
        <v>40299.964898497194</v>
      </c>
      <c r="Y147" s="474">
        <f t="shared" si="108"/>
        <v>11961.100083630923</v>
      </c>
      <c r="Z147" s="474">
        <f t="shared" si="109"/>
        <v>3413.4690396132614</v>
      </c>
      <c r="AA147" s="474">
        <f t="shared" si="110"/>
        <v>0</v>
      </c>
      <c r="AB147" s="474">
        <f t="shared" si="111"/>
        <v>17723.768704974198</v>
      </c>
      <c r="AC147" s="474">
        <f t="shared" si="112"/>
        <v>73398.302726715585</v>
      </c>
      <c r="AD147" s="1240">
        <f t="shared" si="113"/>
        <v>144.3190784095932</v>
      </c>
      <c r="AE147" s="100">
        <f t="shared" si="114"/>
        <v>0.54905853952163353</v>
      </c>
      <c r="AF147" s="100">
        <f t="shared" si="115"/>
        <v>0.16296153506663186</v>
      </c>
      <c r="AG147" s="100">
        <f t="shared" si="116"/>
        <v>4.6506103176835775E-2</v>
      </c>
      <c r="AH147" s="100">
        <f t="shared" si="129"/>
        <v>0</v>
      </c>
      <c r="AI147" s="100">
        <f t="shared" si="117"/>
        <v>0.24147382223489869</v>
      </c>
      <c r="AJ147" s="471">
        <f t="shared" si="118"/>
        <v>0.99999999999999989</v>
      </c>
      <c r="AK147" s="1250">
        <f t="shared" si="119"/>
        <v>40299.964898497186</v>
      </c>
      <c r="AL147" s="1251">
        <f t="shared" si="120"/>
        <v>0</v>
      </c>
      <c r="AM147" s="1251">
        <f t="shared" si="121"/>
        <v>0</v>
      </c>
      <c r="AN147" s="1251">
        <f t="shared" si="122"/>
        <v>40299.964898497186</v>
      </c>
      <c r="AO147" s="1277">
        <f t="shared" si="123"/>
        <v>0</v>
      </c>
    </row>
    <row r="148" spans="1:41">
      <c r="A148" s="89">
        <f>'Input data'!A128</f>
        <v>2028</v>
      </c>
      <c r="B148" s="152">
        <f>'Input data'!B128</f>
        <v>64.676158618096451</v>
      </c>
      <c r="C148" s="204">
        <f>'Input data'!C128</f>
        <v>5007.2618284439486</v>
      </c>
      <c r="D148" s="204">
        <f>'Input data'!D128</f>
        <v>47264829.111875661</v>
      </c>
      <c r="E148" s="473">
        <f>'Input data'!J128*C148</f>
        <v>60242.595523409356</v>
      </c>
      <c r="F148" s="474">
        <f>'Input data'!L128</f>
        <v>107507.42463528502</v>
      </c>
      <c r="G148" s="474">
        <f t="shared" si="124"/>
        <v>38070.664875792791</v>
      </c>
      <c r="H148" s="474">
        <f t="shared" si="125"/>
        <v>40852.751112077778</v>
      </c>
      <c r="I148" s="475">
        <f t="shared" si="99"/>
        <v>47264.829111875661</v>
      </c>
      <c r="J148" s="100">
        <f t="shared" si="100"/>
        <v>0.16683562054324133</v>
      </c>
      <c r="K148" s="474">
        <f t="shared" si="126"/>
        <v>4976.4137478271114</v>
      </c>
      <c r="L148" s="474">
        <f t="shared" si="101"/>
        <v>0</v>
      </c>
      <c r="M148" s="474">
        <f t="shared" si="127"/>
        <v>4976.4137478271114</v>
      </c>
      <c r="N148" s="579">
        <f>N147</f>
        <v>0.5</v>
      </c>
      <c r="O148" s="475">
        <f t="shared" si="102"/>
        <v>751.91700000000026</v>
      </c>
      <c r="P148" s="466">
        <f t="shared" si="130"/>
        <v>5728.3307478271117</v>
      </c>
      <c r="Q148" s="467">
        <f t="shared" si="103"/>
        <v>73195.085240043452</v>
      </c>
      <c r="R148" s="467">
        <f t="shared" si="128"/>
        <v>35124.420364250662</v>
      </c>
      <c r="S148" s="938">
        <f t="shared" si="104"/>
        <v>1.0387011544812219</v>
      </c>
      <c r="T148" s="118" t="str">
        <f t="shared" si="105"/>
        <v>No</v>
      </c>
      <c r="U148" s="938">
        <f t="shared" si="106"/>
        <v>1</v>
      </c>
      <c r="V148" s="1247">
        <f t="shared" si="97"/>
        <v>73691.711412367193</v>
      </c>
      <c r="W148" s="1244">
        <f t="shared" si="98"/>
        <v>0.31454304981852543</v>
      </c>
      <c r="X148" s="473">
        <f t="shared" si="107"/>
        <v>39379.372017125628</v>
      </c>
      <c r="Y148" s="474">
        <f t="shared" si="108"/>
        <v>12709.572165696211</v>
      </c>
      <c r="Z148" s="474">
        <f t="shared" si="109"/>
        <v>3474.2495868371143</v>
      </c>
      <c r="AA148" s="474">
        <f t="shared" si="110"/>
        <v>0</v>
      </c>
      <c r="AB148" s="474">
        <f t="shared" si="111"/>
        <v>18128.517642708237</v>
      </c>
      <c r="AC148" s="474">
        <f t="shared" si="112"/>
        <v>73691.711412367193</v>
      </c>
      <c r="AD148" s="1240">
        <f t="shared" si="113"/>
        <v>1308.7071413328376</v>
      </c>
      <c r="AE148" s="100">
        <f t="shared" si="114"/>
        <v>0.53437993584875343</v>
      </c>
      <c r="AF148" s="100">
        <f t="shared" si="115"/>
        <v>0.17246949381559956</v>
      </c>
      <c r="AG148" s="100">
        <f t="shared" si="116"/>
        <v>4.7145730778265706E-2</v>
      </c>
      <c r="AH148" s="100">
        <f t="shared" si="129"/>
        <v>0</v>
      </c>
      <c r="AI148" s="100">
        <f t="shared" si="117"/>
        <v>0.24600483955738131</v>
      </c>
      <c r="AJ148" s="471">
        <f t="shared" si="118"/>
        <v>1</v>
      </c>
      <c r="AK148" s="1250">
        <f t="shared" si="119"/>
        <v>39379.372017125628</v>
      </c>
      <c r="AL148" s="1251">
        <f t="shared" si="120"/>
        <v>0</v>
      </c>
      <c r="AM148" s="1251">
        <f t="shared" si="121"/>
        <v>0</v>
      </c>
      <c r="AN148" s="1251">
        <f t="shared" si="122"/>
        <v>39379.372017125628</v>
      </c>
      <c r="AO148" s="1277">
        <f t="shared" si="123"/>
        <v>0</v>
      </c>
    </row>
    <row r="149" spans="1:41">
      <c r="A149" s="89">
        <f>'Input data'!A129</f>
        <v>2029</v>
      </c>
      <c r="B149" s="152">
        <f>'Input data'!B129</f>
        <v>65.31298905018393</v>
      </c>
      <c r="C149" s="204">
        <f>'Input data'!C129</f>
        <v>5127.4326756514902</v>
      </c>
      <c r="D149" s="204">
        <f>'Input data'!D129</f>
        <v>45911028.865820996</v>
      </c>
      <c r="E149" s="473">
        <f>'Input data'!J129*C149</f>
        <v>61688.376469176088</v>
      </c>
      <c r="F149" s="474">
        <f>'Input data'!L129</f>
        <v>107599.40533499708</v>
      </c>
      <c r="G149" s="474">
        <f t="shared" si="124"/>
        <v>36093.941324681233</v>
      </c>
      <c r="H149" s="474">
        <f t="shared" si="125"/>
        <v>42388.597161053549</v>
      </c>
      <c r="I149" s="475">
        <f t="shared" si="99"/>
        <v>45911.028865820997</v>
      </c>
      <c r="J149" s="100">
        <f>$J$137*(1+((($J$150/$J$137)^(1/($A$150-$A$137)))-1))^(A149-$A$137)</f>
        <v>0.18266670224386344</v>
      </c>
      <c r="K149" s="474">
        <f t="shared" si="126"/>
        <v>5560.6962362736667</v>
      </c>
      <c r="L149" s="474">
        <f t="shared" si="101"/>
        <v>0</v>
      </c>
      <c r="M149" s="474">
        <f t="shared" si="127"/>
        <v>5560.6962362736667</v>
      </c>
      <c r="N149" s="579">
        <f t="shared" ref="N149:N170" si="131">N148</f>
        <v>0.5</v>
      </c>
      <c r="O149" s="475">
        <f t="shared" si="102"/>
        <v>751.91700000000026</v>
      </c>
      <c r="P149" s="466">
        <f t="shared" si="130"/>
        <v>6312.6132362736671</v>
      </c>
      <c r="Q149" s="467">
        <f t="shared" si="103"/>
        <v>72169.925249461114</v>
      </c>
      <c r="R149" s="467">
        <f t="shared" si="128"/>
        <v>36075.983924779881</v>
      </c>
      <c r="S149" s="938">
        <f t="shared" si="104"/>
        <v>1.0412948013244394</v>
      </c>
      <c r="T149" s="118" t="str">
        <f t="shared" si="105"/>
        <v>No</v>
      </c>
      <c r="U149" s="938">
        <f t="shared" si="106"/>
        <v>1</v>
      </c>
      <c r="V149" s="1247">
        <f t="shared" si="97"/>
        <v>72954.092711814621</v>
      </c>
      <c r="W149" s="1244">
        <f t="shared" si="98"/>
        <v>0.32198423880985849</v>
      </c>
      <c r="X149" s="473">
        <f t="shared" si="107"/>
        <v>37524.612626278649</v>
      </c>
      <c r="Y149" s="474">
        <f t="shared" si="108"/>
        <v>13326.306761216732</v>
      </c>
      <c r="Z149" s="474">
        <f t="shared" si="109"/>
        <v>3539.5837004803343</v>
      </c>
      <c r="AA149" s="474">
        <f t="shared" si="110"/>
        <v>0</v>
      </c>
      <c r="AB149" s="474">
        <f t="shared" si="111"/>
        <v>18563.58962383891</v>
      </c>
      <c r="AC149" s="474">
        <f t="shared" si="112"/>
        <v>72954.092711814621</v>
      </c>
      <c r="AD149" s="1240">
        <f t="shared" si="113"/>
        <v>1430.6713015974165</v>
      </c>
      <c r="AE149" s="100">
        <f t="shared" si="114"/>
        <v>0.51435925294156515</v>
      </c>
      <c r="AF149" s="100">
        <f t="shared" si="115"/>
        <v>0.18266702066817139</v>
      </c>
      <c r="AG149" s="100">
        <f t="shared" si="116"/>
        <v>4.8517959293421696E-2</v>
      </c>
      <c r="AH149" s="100">
        <f t="shared" si="129"/>
        <v>0</v>
      </c>
      <c r="AI149" s="100">
        <f t="shared" si="117"/>
        <v>0.25445576709684187</v>
      </c>
      <c r="AJ149" s="471">
        <f t="shared" si="118"/>
        <v>1.0000000000000002</v>
      </c>
      <c r="AK149" s="1250">
        <f t="shared" si="119"/>
        <v>37524.612626278649</v>
      </c>
      <c r="AL149" s="1251">
        <f t="shared" si="120"/>
        <v>0</v>
      </c>
      <c r="AM149" s="1251">
        <f t="shared" si="121"/>
        <v>0</v>
      </c>
      <c r="AN149" s="1251">
        <f t="shared" si="122"/>
        <v>37524.612626278649</v>
      </c>
      <c r="AO149" s="1277">
        <f t="shared" si="123"/>
        <v>0</v>
      </c>
    </row>
    <row r="150" spans="1:41" s="369" customFormat="1">
      <c r="A150" s="683">
        <f>'Input data'!A130</f>
        <v>2030</v>
      </c>
      <c r="B150" s="152">
        <f>'Input data'!B130</f>
        <v>65.956090000000003</v>
      </c>
      <c r="C150" s="204">
        <f>'Input data'!C130</f>
        <v>5247.6087278453806</v>
      </c>
      <c r="D150" s="204">
        <f>'Input data'!D130</f>
        <v>43025080.542663962</v>
      </c>
      <c r="E150" s="473">
        <f>'Input data'!J130*C150</f>
        <v>63134.220036371073</v>
      </c>
      <c r="F150" s="474">
        <f>'Input data'!L130</f>
        <v>106159.30057903504</v>
      </c>
      <c r="G150" s="474">
        <f>G137*(1-$C$4)</f>
        <v>34219.854173807704</v>
      </c>
      <c r="H150" s="474">
        <f t="shared" si="125"/>
        <v>42383.99491464888</v>
      </c>
      <c r="I150" s="475">
        <f t="shared" si="99"/>
        <v>43025.080542663964</v>
      </c>
      <c r="J150" s="100">
        <v>0.2</v>
      </c>
      <c r="K150" s="474">
        <f t="shared" si="126"/>
        <v>5956.919698256941</v>
      </c>
      <c r="L150" s="474">
        <f t="shared" si="101"/>
        <v>0</v>
      </c>
      <c r="M150" s="474">
        <f t="shared" si="127"/>
        <v>5956.919698256941</v>
      </c>
      <c r="N150" s="579">
        <f t="shared" si="131"/>
        <v>0.5</v>
      </c>
      <c r="O150" s="475">
        <f t="shared" si="102"/>
        <v>751.91700000000026</v>
      </c>
      <c r="P150" s="466">
        <f t="shared" si="130"/>
        <v>6708.8366982569414</v>
      </c>
      <c r="Q150" s="467">
        <f t="shared" si="103"/>
        <v>69895.012390199641</v>
      </c>
      <c r="R150" s="467">
        <f t="shared" si="128"/>
        <v>35675.158216391937</v>
      </c>
      <c r="S150" s="938">
        <f t="shared" si="104"/>
        <v>1.0056437083592455</v>
      </c>
      <c r="T150" s="118" t="str">
        <f t="shared" si="105"/>
        <v>No</v>
      </c>
      <c r="U150" s="938">
        <f t="shared" si="106"/>
        <v>1</v>
      </c>
      <c r="V150" s="1247">
        <f t="shared" si="97"/>
        <v>70684.352622966573</v>
      </c>
      <c r="W150" s="1244">
        <f t="shared" si="98"/>
        <v>0.33416712207572952</v>
      </c>
      <c r="X150" s="473">
        <f t="shared" si="107"/>
        <v>34420.064434131171</v>
      </c>
      <c r="Y150" s="474">
        <f t="shared" si="108"/>
        <v>13660.687095542968</v>
      </c>
      <c r="Z150" s="474">
        <f t="shared" si="109"/>
        <v>3604.9206439543955</v>
      </c>
      <c r="AA150" s="474">
        <f t="shared" si="110"/>
        <v>0</v>
      </c>
      <c r="AB150" s="474">
        <f t="shared" si="111"/>
        <v>18998.680449338044</v>
      </c>
      <c r="AC150" s="474">
        <f t="shared" si="112"/>
        <v>70684.352622966573</v>
      </c>
      <c r="AD150" s="1240">
        <f t="shared" si="113"/>
        <v>200.21026032346708</v>
      </c>
      <c r="AE150" s="100">
        <f t="shared" si="114"/>
        <v>0.48695451195159556</v>
      </c>
      <c r="AF150" s="100">
        <f t="shared" si="115"/>
        <v>0.19326324127787758</v>
      </c>
      <c r="AG150" s="100">
        <f t="shared" si="116"/>
        <v>5.1000263993124476E-2</v>
      </c>
      <c r="AH150" s="100">
        <f t="shared" si="129"/>
        <v>0</v>
      </c>
      <c r="AI150" s="100">
        <f t="shared" si="117"/>
        <v>0.26878198277740245</v>
      </c>
      <c r="AJ150" s="471">
        <f t="shared" si="118"/>
        <v>1</v>
      </c>
      <c r="AK150" s="1250">
        <f t="shared" si="119"/>
        <v>34420.064434131171</v>
      </c>
      <c r="AL150" s="1251">
        <f t="shared" si="120"/>
        <v>0</v>
      </c>
      <c r="AM150" s="1251">
        <f t="shared" si="121"/>
        <v>0</v>
      </c>
      <c r="AN150" s="1251">
        <f t="shared" si="122"/>
        <v>34420.064434131171</v>
      </c>
      <c r="AO150" s="1277">
        <f t="shared" si="123"/>
        <v>0</v>
      </c>
    </row>
    <row r="151" spans="1:41">
      <c r="A151" s="89">
        <f>'Input data'!A131</f>
        <v>2031</v>
      </c>
      <c r="B151" s="152">
        <f>'Input data'!B131</f>
        <v>66.518977190687664</v>
      </c>
      <c r="C151" s="204">
        <f>'Input data'!C131</f>
        <v>5388.2194214943684</v>
      </c>
      <c r="D151" s="204">
        <f>'Input data'!D131</f>
        <v>41478479.110071354</v>
      </c>
      <c r="E151" s="473">
        <f>'Input data'!J131*C151</f>
        <v>64825.913707279899</v>
      </c>
      <c r="F151" s="474">
        <f>'Input data'!L131</f>
        <v>106304.39281735125</v>
      </c>
      <c r="G151" s="474">
        <f>$G$150*(1+((($G$160/$G$150)^(1/($A$160-$A$150)))-1))^(A151-$A$150)</f>
        <v>33020.827958397946</v>
      </c>
      <c r="H151" s="474">
        <f t="shared" si="125"/>
        <v>43102.315390935837</v>
      </c>
      <c r="I151" s="475">
        <f t="shared" si="99"/>
        <v>41478.479110071356</v>
      </c>
      <c r="J151" s="100">
        <f t="shared" ref="J151:J170" si="132">J150</f>
        <v>0.2</v>
      </c>
      <c r="K151" s="474">
        <f t="shared" si="126"/>
        <v>5742.7892324225395</v>
      </c>
      <c r="L151" s="474">
        <f t="shared" si="101"/>
        <v>0</v>
      </c>
      <c r="M151" s="474">
        <f t="shared" si="127"/>
        <v>5742.7892324225395</v>
      </c>
      <c r="N151" s="579">
        <f t="shared" si="131"/>
        <v>0.5</v>
      </c>
      <c r="O151" s="475">
        <f t="shared" si="102"/>
        <v>751.91700000000026</v>
      </c>
      <c r="P151" s="466">
        <f t="shared" si="130"/>
        <v>6494.7062324225399</v>
      </c>
      <c r="Q151" s="467">
        <f t="shared" si="103"/>
        <v>69628.437116911242</v>
      </c>
      <c r="R151" s="467">
        <f t="shared" si="128"/>
        <v>36607.609158513296</v>
      </c>
      <c r="S151" s="938">
        <f t="shared" si="104"/>
        <v>1.0044437487778288</v>
      </c>
      <c r="T151" s="118" t="str">
        <f t="shared" si="105"/>
        <v>No</v>
      </c>
      <c r="U151" s="938">
        <f t="shared" si="106"/>
        <v>1</v>
      </c>
      <c r="V151" s="1247">
        <f t="shared" si="97"/>
        <v>69858.738988497091</v>
      </c>
      <c r="W151" s="1244">
        <f t="shared" si="98"/>
        <v>0.34284240625384033</v>
      </c>
      <c r="X151" s="473">
        <f t="shared" si="107"/>
        <v>33182.783288057086</v>
      </c>
      <c r="Y151" s="474">
        <f t="shared" si="108"/>
        <v>13486.834493680966</v>
      </c>
      <c r="Z151" s="474">
        <f t="shared" si="109"/>
        <v>3681.3674299410918</v>
      </c>
      <c r="AA151" s="474">
        <f t="shared" si="110"/>
        <v>0</v>
      </c>
      <c r="AB151" s="474">
        <f t="shared" si="111"/>
        <v>19507.753776817954</v>
      </c>
      <c r="AC151" s="474">
        <f t="shared" si="112"/>
        <v>69858.738988497091</v>
      </c>
      <c r="AD151" s="1240">
        <f t="shared" si="113"/>
        <v>161.95532965914026</v>
      </c>
      <c r="AE151" s="100">
        <f t="shared" si="114"/>
        <v>0.47499831472081033</v>
      </c>
      <c r="AF151" s="100">
        <f t="shared" si="115"/>
        <v>0.19305865935973598</v>
      </c>
      <c r="AG151" s="100">
        <f t="shared" si="116"/>
        <v>5.269730721230545E-2</v>
      </c>
      <c r="AH151" s="100">
        <f t="shared" si="129"/>
        <v>0</v>
      </c>
      <c r="AI151" s="100">
        <f t="shared" si="117"/>
        <v>0.27924571870714832</v>
      </c>
      <c r="AJ151" s="471">
        <f t="shared" si="118"/>
        <v>1</v>
      </c>
      <c r="AK151" s="1250">
        <f t="shared" si="119"/>
        <v>33182.783288057086</v>
      </c>
      <c r="AL151" s="1251">
        <f t="shared" si="120"/>
        <v>0</v>
      </c>
      <c r="AM151" s="1251">
        <f t="shared" si="121"/>
        <v>0</v>
      </c>
      <c r="AN151" s="1251">
        <f t="shared" si="122"/>
        <v>33182.783288057086</v>
      </c>
      <c r="AO151" s="1277">
        <f t="shared" si="123"/>
        <v>0</v>
      </c>
    </row>
    <row r="152" spans="1:41">
      <c r="A152" s="89">
        <f>'Input data'!A132</f>
        <v>2032</v>
      </c>
      <c r="B152" s="152">
        <f>'Input data'!B132</f>
        <v>67.08666821358311</v>
      </c>
      <c r="C152" s="204">
        <f>'Input data'!C132</f>
        <v>5536.7385220125598</v>
      </c>
      <c r="D152" s="204">
        <f>'Input data'!D132</f>
        <v>41255345.957373768</v>
      </c>
      <c r="E152" s="473">
        <f>'Input data'!J132*C152</f>
        <v>66612.753782067521</v>
      </c>
      <c r="F152" s="474">
        <f>'Input data'!L132</f>
        <v>107868.0997394413</v>
      </c>
      <c r="G152" s="474">
        <f t="shared" ref="G152:G159" si="133">$G$150*(1+((($G$160/$G$150)^(1/($A$160-$A$150)))-1))^(A152-$A$150)</f>
        <v>31863.814308498775</v>
      </c>
      <c r="H152" s="474">
        <f t="shared" si="125"/>
        <v>45075.230785840533</v>
      </c>
      <c r="I152" s="475">
        <f t="shared" si="99"/>
        <v>41255.345957373771</v>
      </c>
      <c r="J152" s="100">
        <f t="shared" si="132"/>
        <v>0.2</v>
      </c>
      <c r="K152" s="474">
        <f t="shared" si="126"/>
        <v>5711.8959428371691</v>
      </c>
      <c r="L152" s="474">
        <f t="shared" si="101"/>
        <v>0</v>
      </c>
      <c r="M152" s="474">
        <f t="shared" si="127"/>
        <v>5711.8959428371691</v>
      </c>
      <c r="N152" s="579">
        <f t="shared" si="131"/>
        <v>0.5</v>
      </c>
      <c r="O152" s="475">
        <f t="shared" si="102"/>
        <v>751.91700000000026</v>
      </c>
      <c r="P152" s="466">
        <f t="shared" si="130"/>
        <v>6463.8129428371694</v>
      </c>
      <c r="Q152" s="467">
        <f t="shared" si="103"/>
        <v>70475.232151502132</v>
      </c>
      <c r="R152" s="467">
        <f t="shared" si="128"/>
        <v>38611.417843003357</v>
      </c>
      <c r="S152" s="938">
        <f t="shared" si="104"/>
        <v>1.030435905507721</v>
      </c>
      <c r="T152" s="118" t="str">
        <f t="shared" si="105"/>
        <v>No</v>
      </c>
      <c r="U152" s="938">
        <f t="shared" si="106"/>
        <v>1</v>
      </c>
      <c r="V152" s="1247">
        <f t="shared" si="97"/>
        <v>70397.144353838172</v>
      </c>
      <c r="W152" s="1244">
        <f t="shared" si="98"/>
        <v>0.34737754235140295</v>
      </c>
      <c r="X152" s="473">
        <f t="shared" si="107"/>
        <v>33004.27676589902</v>
      </c>
      <c r="Y152" s="474">
        <f t="shared" si="108"/>
        <v>13585.294694963031</v>
      </c>
      <c r="Z152" s="474">
        <f t="shared" si="109"/>
        <v>3762.1138340559442</v>
      </c>
      <c r="AA152" s="474">
        <f t="shared" si="110"/>
        <v>0</v>
      </c>
      <c r="AB152" s="474">
        <f t="shared" si="111"/>
        <v>20045.459058920187</v>
      </c>
      <c r="AC152" s="474">
        <f t="shared" si="112"/>
        <v>70397.144353838172</v>
      </c>
      <c r="AD152" s="1240">
        <f t="shared" si="113"/>
        <v>1140.4624574002446</v>
      </c>
      <c r="AE152" s="100">
        <f t="shared" si="114"/>
        <v>0.46882976673043941</v>
      </c>
      <c r="AF152" s="100">
        <f t="shared" si="115"/>
        <v>0.19298076391677296</v>
      </c>
      <c r="AG152" s="100">
        <f t="shared" si="116"/>
        <v>5.3441284708174774E-2</v>
      </c>
      <c r="AH152" s="100">
        <f t="shared" si="129"/>
        <v>0</v>
      </c>
      <c r="AI152" s="100">
        <f t="shared" si="117"/>
        <v>0.28474818464461299</v>
      </c>
      <c r="AJ152" s="471">
        <f t="shared" si="118"/>
        <v>1.0000000000000002</v>
      </c>
      <c r="AK152" s="1250">
        <f t="shared" si="119"/>
        <v>33004.27676589902</v>
      </c>
      <c r="AL152" s="1251">
        <f t="shared" si="120"/>
        <v>0</v>
      </c>
      <c r="AM152" s="1251">
        <f t="shared" si="121"/>
        <v>0</v>
      </c>
      <c r="AN152" s="1251">
        <f t="shared" si="122"/>
        <v>33004.27676589902</v>
      </c>
      <c r="AO152" s="1277">
        <f t="shared" si="123"/>
        <v>0</v>
      </c>
    </row>
    <row r="153" spans="1:41">
      <c r="A153" s="89">
        <f>'Input data'!A133</f>
        <v>2033</v>
      </c>
      <c r="B153" s="152">
        <f>'Input data'!B133</f>
        <v>67.659204065895452</v>
      </c>
      <c r="C153" s="204">
        <f>'Input data'!C133</f>
        <v>5692.5826618103829</v>
      </c>
      <c r="D153" s="204">
        <f>'Input data'!D133</f>
        <v>40262688.170007341</v>
      </c>
      <c r="E153" s="473">
        <f>'Input data'!J133*C153</f>
        <v>68487.721738646593</v>
      </c>
      <c r="F153" s="474">
        <f>'Input data'!L133</f>
        <v>108750.40990865394</v>
      </c>
      <c r="G153" s="474">
        <f t="shared" si="133"/>
        <v>30747.341149823493</v>
      </c>
      <c r="H153" s="474">
        <f t="shared" si="125"/>
        <v>46336.011961929107</v>
      </c>
      <c r="I153" s="475">
        <f t="shared" si="99"/>
        <v>40262.688170007343</v>
      </c>
      <c r="J153" s="100">
        <f t="shared" si="132"/>
        <v>0.2</v>
      </c>
      <c r="K153" s="474">
        <f t="shared" si="126"/>
        <v>5574.460227375168</v>
      </c>
      <c r="L153" s="474">
        <f t="shared" si="101"/>
        <v>0</v>
      </c>
      <c r="M153" s="474">
        <f t="shared" si="127"/>
        <v>5574.460227375168</v>
      </c>
      <c r="N153" s="579">
        <f t="shared" si="131"/>
        <v>0.5</v>
      </c>
      <c r="O153" s="475">
        <f t="shared" si="102"/>
        <v>751.91700000000026</v>
      </c>
      <c r="P153" s="466">
        <f t="shared" si="130"/>
        <v>6326.3772273751683</v>
      </c>
      <c r="Q153" s="467">
        <f t="shared" si="103"/>
        <v>70756.975884377433</v>
      </c>
      <c r="R153" s="467">
        <f t="shared" si="128"/>
        <v>40009.63473455394</v>
      </c>
      <c r="S153" s="938">
        <f t="shared" si="104"/>
        <v>1.0379488939221861</v>
      </c>
      <c r="T153" s="118" t="str">
        <f t="shared" si="105"/>
        <v>No</v>
      </c>
      <c r="U153" s="938">
        <f t="shared" si="106"/>
        <v>1</v>
      </c>
      <c r="V153" s="1247">
        <f t="shared" si="97"/>
        <v>70203.584560282368</v>
      </c>
      <c r="W153" s="1244">
        <f t="shared" si="98"/>
        <v>0.35445223039388429</v>
      </c>
      <c r="X153" s="473">
        <f t="shared" si="107"/>
        <v>32210.150536005876</v>
      </c>
      <c r="Y153" s="474">
        <f t="shared" si="108"/>
        <v>13536.907086273615</v>
      </c>
      <c r="Z153" s="474">
        <f t="shared" si="109"/>
        <v>3846.8426928164727</v>
      </c>
      <c r="AA153" s="474">
        <f t="shared" si="110"/>
        <v>0</v>
      </c>
      <c r="AB153" s="474">
        <f t="shared" si="111"/>
        <v>20609.68424518641</v>
      </c>
      <c r="AC153" s="474">
        <f t="shared" si="112"/>
        <v>70203.584560282368</v>
      </c>
      <c r="AD153" s="1240">
        <f t="shared" si="113"/>
        <v>1462.8093861823836</v>
      </c>
      <c r="AE153" s="100">
        <f t="shared" si="114"/>
        <v>0.45881062537978651</v>
      </c>
      <c r="AF153" s="100">
        <f t="shared" si="115"/>
        <v>0.19282358829768517</v>
      </c>
      <c r="AG153" s="100">
        <f t="shared" si="116"/>
        <v>5.4795530981943924E-2</v>
      </c>
      <c r="AH153" s="100">
        <f t="shared" si="129"/>
        <v>0</v>
      </c>
      <c r="AI153" s="100">
        <f t="shared" si="117"/>
        <v>0.29357025534058451</v>
      </c>
      <c r="AJ153" s="471">
        <f t="shared" si="118"/>
        <v>1</v>
      </c>
      <c r="AK153" s="1250">
        <f t="shared" si="119"/>
        <v>32210.150536005873</v>
      </c>
      <c r="AL153" s="1251">
        <f t="shared" si="120"/>
        <v>0</v>
      </c>
      <c r="AM153" s="1251">
        <f t="shared" si="121"/>
        <v>0</v>
      </c>
      <c r="AN153" s="1251">
        <f t="shared" si="122"/>
        <v>32210.150536005873</v>
      </c>
      <c r="AO153" s="1277">
        <f t="shared" si="123"/>
        <v>0</v>
      </c>
    </row>
    <row r="154" spans="1:41">
      <c r="A154" s="89">
        <f>'Input data'!A134</f>
        <v>2034</v>
      </c>
      <c r="B154" s="152">
        <f>'Input data'!B134</f>
        <v>68.236626094715163</v>
      </c>
      <c r="C154" s="204">
        <f>'Input data'!C134</f>
        <v>5868.7539844737303</v>
      </c>
      <c r="D154" s="204">
        <f>'Input data'!D134</f>
        <v>39656259.723391399</v>
      </c>
      <c r="E154" s="473">
        <f>'Input data'!J134*C154</f>
        <v>70607.24695974536</v>
      </c>
      <c r="F154" s="474">
        <f>'Input data'!L134</f>
        <v>110263.50668313676</v>
      </c>
      <c r="G154" s="474">
        <f t="shared" si="133"/>
        <v>29669.987987956312</v>
      </c>
      <c r="H154" s="474">
        <f t="shared" si="125"/>
        <v>48060.459639023218</v>
      </c>
      <c r="I154" s="475">
        <f t="shared" si="99"/>
        <v>39656.259723391398</v>
      </c>
      <c r="J154" s="100">
        <f t="shared" si="132"/>
        <v>0.2</v>
      </c>
      <c r="K154" s="474">
        <f t="shared" si="126"/>
        <v>5490.4988375609701</v>
      </c>
      <c r="L154" s="474">
        <f t="shared" si="101"/>
        <v>0</v>
      </c>
      <c r="M154" s="474">
        <f t="shared" si="127"/>
        <v>5490.4988375609701</v>
      </c>
      <c r="N154" s="579">
        <f t="shared" si="131"/>
        <v>0.5</v>
      </c>
      <c r="O154" s="475">
        <f t="shared" si="102"/>
        <v>751.91700000000026</v>
      </c>
      <c r="P154" s="466">
        <f t="shared" si="130"/>
        <v>6242.4158375609704</v>
      </c>
      <c r="Q154" s="467">
        <f t="shared" si="103"/>
        <v>71488.031789418557</v>
      </c>
      <c r="R154" s="467">
        <f t="shared" si="128"/>
        <v>41818.043801462249</v>
      </c>
      <c r="S154" s="938">
        <f t="shared" si="104"/>
        <v>1.0516816776863736</v>
      </c>
      <c r="T154" s="118" t="str">
        <f t="shared" si="105"/>
        <v>No</v>
      </c>
      <c r="U154" s="938">
        <f t="shared" si="106"/>
        <v>1</v>
      </c>
      <c r="V154" s="1247">
        <f t="shared" si="97"/>
        <v>70500.482672431346</v>
      </c>
      <c r="W154" s="1244">
        <f t="shared" si="98"/>
        <v>0.36061817011653774</v>
      </c>
      <c r="X154" s="473">
        <f t="shared" si="107"/>
        <v>31725.007778713119</v>
      </c>
      <c r="Y154" s="474">
        <f t="shared" si="108"/>
        <v>13585.349036895488</v>
      </c>
      <c r="Z154" s="474">
        <f t="shared" si="109"/>
        <v>3942.6229713368125</v>
      </c>
      <c r="AA154" s="474">
        <f t="shared" si="110"/>
        <v>0</v>
      </c>
      <c r="AB154" s="474">
        <f t="shared" si="111"/>
        <v>21247.502885485916</v>
      </c>
      <c r="AC154" s="474">
        <f t="shared" si="112"/>
        <v>70500.482672431346</v>
      </c>
      <c r="AD154" s="1240">
        <f t="shared" si="113"/>
        <v>2055.0197907568072</v>
      </c>
      <c r="AE154" s="100">
        <f t="shared" si="114"/>
        <v>0.44999702946883413</v>
      </c>
      <c r="AF154" s="100">
        <f t="shared" si="115"/>
        <v>0.19269866704342339</v>
      </c>
      <c r="AG154" s="100">
        <f t="shared" si="116"/>
        <v>5.5923347215302739E-2</v>
      </c>
      <c r="AH154" s="100">
        <f t="shared" si="129"/>
        <v>0</v>
      </c>
      <c r="AI154" s="100">
        <f t="shared" si="117"/>
        <v>0.3013809562724396</v>
      </c>
      <c r="AJ154" s="471">
        <f t="shared" si="118"/>
        <v>1</v>
      </c>
      <c r="AK154" s="1250">
        <f t="shared" si="119"/>
        <v>31725.007778713123</v>
      </c>
      <c r="AL154" s="1251">
        <f t="shared" si="120"/>
        <v>0</v>
      </c>
      <c r="AM154" s="1251">
        <f t="shared" si="121"/>
        <v>0</v>
      </c>
      <c r="AN154" s="1251">
        <f t="shared" si="122"/>
        <v>31725.007778713123</v>
      </c>
      <c r="AO154" s="1277">
        <f t="shared" si="123"/>
        <v>0</v>
      </c>
    </row>
    <row r="155" spans="1:41">
      <c r="A155" s="89">
        <f>'Input data'!A135</f>
        <v>2035</v>
      </c>
      <c r="B155" s="152">
        <f>'Input data'!B135</f>
        <v>68.818976000000006</v>
      </c>
      <c r="C155" s="204">
        <f>'Input data'!C135</f>
        <v>6036.7474148806386</v>
      </c>
      <c r="D155" s="204">
        <f>'Input data'!D135</f>
        <v>39791303.809178911</v>
      </c>
      <c r="E155" s="473">
        <f>'Input data'!J135*C155</f>
        <v>72628.383585975738</v>
      </c>
      <c r="F155" s="474">
        <f>'Input data'!L135</f>
        <v>112419.68739515464</v>
      </c>
      <c r="G155" s="474">
        <f t="shared" si="133"/>
        <v>28630.384101050156</v>
      </c>
      <c r="H155" s="474">
        <f t="shared" si="125"/>
        <v>50386.538539723224</v>
      </c>
      <c r="I155" s="475">
        <f t="shared" si="99"/>
        <v>39791.303809178913</v>
      </c>
      <c r="J155" s="100">
        <f t="shared" si="132"/>
        <v>0.2</v>
      </c>
      <c r="K155" s="474">
        <f t="shared" si="126"/>
        <v>5509.1959966276008</v>
      </c>
      <c r="L155" s="474">
        <f t="shared" si="101"/>
        <v>0</v>
      </c>
      <c r="M155" s="474">
        <f t="shared" si="127"/>
        <v>5509.1959966276008</v>
      </c>
      <c r="N155" s="579">
        <f t="shared" si="131"/>
        <v>0.5</v>
      </c>
      <c r="O155" s="475">
        <f t="shared" si="102"/>
        <v>751.91700000000026</v>
      </c>
      <c r="P155" s="466">
        <f t="shared" si="130"/>
        <v>6261.1129966276012</v>
      </c>
      <c r="Q155" s="467">
        <f t="shared" si="103"/>
        <v>72755.809644145775</v>
      </c>
      <c r="R155" s="467">
        <f t="shared" si="128"/>
        <v>44125.425543095618</v>
      </c>
      <c r="S155" s="938">
        <f t="shared" si="104"/>
        <v>1.078261056439503</v>
      </c>
      <c r="T155" s="118" t="str">
        <f t="shared" si="105"/>
        <v>No</v>
      </c>
      <c r="U155" s="938">
        <f t="shared" si="106"/>
        <v>1</v>
      </c>
      <c r="V155" s="1247">
        <f t="shared" si="97"/>
        <v>71496.920798352017</v>
      </c>
      <c r="W155" s="1244">
        <f t="shared" si="98"/>
        <v>0.36401779390258671</v>
      </c>
      <c r="X155" s="473">
        <f t="shared" si="107"/>
        <v>31833.043047343133</v>
      </c>
      <c r="Y155" s="474">
        <f t="shared" si="108"/>
        <v>13774.206718205109</v>
      </c>
      <c r="Z155" s="474">
        <f t="shared" si="109"/>
        <v>4033.9571187491515</v>
      </c>
      <c r="AA155" s="474">
        <f t="shared" si="110"/>
        <v>0</v>
      </c>
      <c r="AB155" s="474">
        <f t="shared" si="111"/>
        <v>21855.713914054621</v>
      </c>
      <c r="AC155" s="474">
        <f t="shared" si="112"/>
        <v>71496.920798352017</v>
      </c>
      <c r="AD155" s="1240">
        <f t="shared" si="113"/>
        <v>3202.6589462929769</v>
      </c>
      <c r="AE155" s="100">
        <f t="shared" si="114"/>
        <v>0.44523655972715509</v>
      </c>
      <c r="AF155" s="100">
        <f t="shared" si="115"/>
        <v>0.19265454462092862</v>
      </c>
      <c r="AG155" s="100">
        <f t="shared" si="116"/>
        <v>5.642141051257879E-2</v>
      </c>
      <c r="AH155" s="100">
        <f t="shared" si="129"/>
        <v>0</v>
      </c>
      <c r="AI155" s="100">
        <f t="shared" si="117"/>
        <v>0.30568748513933747</v>
      </c>
      <c r="AJ155" s="471">
        <f t="shared" si="118"/>
        <v>1</v>
      </c>
      <c r="AK155" s="1250">
        <f t="shared" si="119"/>
        <v>31833.04304734313</v>
      </c>
      <c r="AL155" s="1251">
        <f t="shared" si="120"/>
        <v>0</v>
      </c>
      <c r="AM155" s="1251">
        <f t="shared" si="121"/>
        <v>0</v>
      </c>
      <c r="AN155" s="1251">
        <f t="shared" si="122"/>
        <v>31833.04304734313</v>
      </c>
      <c r="AO155" s="1277">
        <f t="shared" si="123"/>
        <v>0</v>
      </c>
    </row>
    <row r="156" spans="1:41">
      <c r="A156" s="89">
        <f>'Input data'!A136</f>
        <v>2036</v>
      </c>
      <c r="B156" s="152">
        <f>'Input data'!B136</f>
        <v>69.322810489383542</v>
      </c>
      <c r="C156" s="204">
        <f>'Input data'!C136</f>
        <v>6215.8972497914319</v>
      </c>
      <c r="D156" s="204">
        <f>'Input data'!D136</f>
        <v>39216082.697226301</v>
      </c>
      <c r="E156" s="473">
        <f>'Input data'!J136*C156</f>
        <v>74783.743423823558</v>
      </c>
      <c r="F156" s="474">
        <f>'Input data'!L136</f>
        <v>113999.82612104986</v>
      </c>
      <c r="G156" s="474">
        <f t="shared" si="133"/>
        <v>27627.206795850379</v>
      </c>
      <c r="H156" s="474">
        <f t="shared" si="125"/>
        <v>52086.65911216088</v>
      </c>
      <c r="I156" s="475">
        <f t="shared" si="99"/>
        <v>39216.082697226302</v>
      </c>
      <c r="J156" s="100">
        <f t="shared" si="132"/>
        <v>0.2</v>
      </c>
      <c r="K156" s="474">
        <f t="shared" si="126"/>
        <v>5429.5553328699571</v>
      </c>
      <c r="L156" s="474">
        <f t="shared" si="101"/>
        <v>0</v>
      </c>
      <c r="M156" s="474">
        <f t="shared" si="127"/>
        <v>5429.5553328699571</v>
      </c>
      <c r="N156" s="579">
        <f t="shared" si="131"/>
        <v>0.5</v>
      </c>
      <c r="O156" s="475">
        <f t="shared" si="102"/>
        <v>751.91700000000026</v>
      </c>
      <c r="P156" s="466">
        <f t="shared" si="130"/>
        <v>6181.4723328699574</v>
      </c>
      <c r="Q156" s="467">
        <f t="shared" si="103"/>
        <v>73532.393575141294</v>
      </c>
      <c r="R156" s="467">
        <f t="shared" si="128"/>
        <v>45905.186779290918</v>
      </c>
      <c r="S156" s="938">
        <f t="shared" si="104"/>
        <v>1.0888449086454488</v>
      </c>
      <c r="T156" s="118" t="str">
        <f t="shared" si="105"/>
        <v>No</v>
      </c>
      <c r="U156" s="938">
        <f t="shared" si="106"/>
        <v>1</v>
      </c>
      <c r="V156" s="1247">
        <f t="shared" si="97"/>
        <v>71840.298703689623</v>
      </c>
      <c r="W156" s="1244">
        <f t="shared" si="98"/>
        <v>0.3698209800126665</v>
      </c>
      <c r="X156" s="473">
        <f t="shared" si="107"/>
        <v>31372.866157781042</v>
      </c>
      <c r="Y156" s="474">
        <f t="shared" si="108"/>
        <v>13831.759705259741</v>
      </c>
      <c r="Z156" s="474">
        <f t="shared" si="109"/>
        <v>4131.3567455738785</v>
      </c>
      <c r="AA156" s="474">
        <f t="shared" si="110"/>
        <v>0</v>
      </c>
      <c r="AB156" s="474">
        <f t="shared" si="111"/>
        <v>22504.316095074952</v>
      </c>
      <c r="AC156" s="474">
        <f t="shared" si="112"/>
        <v>71840.298703689623</v>
      </c>
      <c r="AD156" s="1240">
        <f t="shared" si="113"/>
        <v>3745.6593619306623</v>
      </c>
      <c r="AE156" s="100">
        <f t="shared" si="114"/>
        <v>0.43670289132817558</v>
      </c>
      <c r="AF156" s="100">
        <f t="shared" si="115"/>
        <v>0.19253483010016159</v>
      </c>
      <c r="AG156" s="100">
        <f t="shared" si="116"/>
        <v>5.7507510688589294E-2</v>
      </c>
      <c r="AH156" s="100">
        <f t="shared" si="129"/>
        <v>0</v>
      </c>
      <c r="AI156" s="100">
        <f t="shared" si="117"/>
        <v>0.31325476788307338</v>
      </c>
      <c r="AJ156" s="471">
        <f t="shared" si="118"/>
        <v>0.99999999999999978</v>
      </c>
      <c r="AK156" s="1250">
        <f t="shared" si="119"/>
        <v>31372.866157781045</v>
      </c>
      <c r="AL156" s="1251">
        <f t="shared" si="120"/>
        <v>0</v>
      </c>
      <c r="AM156" s="1251">
        <f t="shared" si="121"/>
        <v>0</v>
      </c>
      <c r="AN156" s="1251">
        <f t="shared" si="122"/>
        <v>31372.866157781045</v>
      </c>
      <c r="AO156" s="1277">
        <f t="shared" si="123"/>
        <v>0</v>
      </c>
    </row>
    <row r="157" spans="1:41">
      <c r="A157" s="89">
        <f>'Input data'!A137</f>
        <v>2037</v>
      </c>
      <c r="B157" s="152">
        <f>'Input data'!B137</f>
        <v>69.830333629884052</v>
      </c>
      <c r="C157" s="204">
        <f>'Input data'!C137</f>
        <v>6413.8831516087803</v>
      </c>
      <c r="D157" s="204">
        <f>'Input data'!D137</f>
        <v>38325122.85038393</v>
      </c>
      <c r="E157" s="473">
        <f>'Input data'!J137*C157</f>
        <v>77165.720842053837</v>
      </c>
      <c r="F157" s="474">
        <f>'Input data'!L137</f>
        <v>115490.84369243777</v>
      </c>
      <c r="G157" s="474">
        <f t="shared" si="133"/>
        <v>26659.179724825448</v>
      </c>
      <c r="H157" s="474">
        <f t="shared" si="125"/>
        <v>53585.358501734867</v>
      </c>
      <c r="I157" s="475">
        <f t="shared" si="99"/>
        <v>38325.12285038393</v>
      </c>
      <c r="J157" s="100">
        <f t="shared" si="132"/>
        <v>0.2</v>
      </c>
      <c r="K157" s="474">
        <f t="shared" si="126"/>
        <v>5306.1999272537269</v>
      </c>
      <c r="L157" s="474">
        <f t="shared" si="101"/>
        <v>0</v>
      </c>
      <c r="M157" s="474">
        <f t="shared" si="127"/>
        <v>5306.1999272537269</v>
      </c>
      <c r="N157" s="579">
        <f t="shared" si="131"/>
        <v>0.5</v>
      </c>
      <c r="O157" s="475">
        <f t="shared" si="102"/>
        <v>751.91700000000026</v>
      </c>
      <c r="P157" s="466">
        <f t="shared" si="130"/>
        <v>6058.1169272537272</v>
      </c>
      <c r="Q157" s="467">
        <f t="shared" si="103"/>
        <v>74186.421299306588</v>
      </c>
      <c r="R157" s="467">
        <f t="shared" si="128"/>
        <v>47527.241574481144</v>
      </c>
      <c r="S157" s="938">
        <f t="shared" si="104"/>
        <v>1.0919195162369972</v>
      </c>
      <c r="T157" s="118" t="str">
        <f t="shared" si="105"/>
        <v>No</v>
      </c>
      <c r="U157" s="938">
        <f t="shared" si="106"/>
        <v>1</v>
      </c>
      <c r="V157" s="1247">
        <f t="shared" si="97"/>
        <v>71964.520673438325</v>
      </c>
      <c r="W157" s="1244">
        <f t="shared" si="98"/>
        <v>0.37688115895069452</v>
      </c>
      <c r="X157" s="473">
        <f t="shared" si="107"/>
        <v>30660.098280307146</v>
      </c>
      <c r="Y157" s="474">
        <f t="shared" si="108"/>
        <v>13844.31205993808</v>
      </c>
      <c r="Z157" s="474">
        <f t="shared" si="109"/>
        <v>4238.9971068567629</v>
      </c>
      <c r="AA157" s="474">
        <f t="shared" si="110"/>
        <v>0</v>
      </c>
      <c r="AB157" s="474">
        <f t="shared" si="111"/>
        <v>23221.113226336343</v>
      </c>
      <c r="AC157" s="474">
        <f t="shared" si="112"/>
        <v>71964.520673438325</v>
      </c>
      <c r="AD157" s="1240">
        <f t="shared" si="113"/>
        <v>4000.9185554816977</v>
      </c>
      <c r="AE157" s="100">
        <f t="shared" si="114"/>
        <v>0.42604463968344897</v>
      </c>
      <c r="AF157" s="100">
        <f t="shared" si="115"/>
        <v>0.19237690921003983</v>
      </c>
      <c r="AG157" s="100">
        <f t="shared" si="116"/>
        <v>5.8903985841753152E-2</v>
      </c>
      <c r="AH157" s="100">
        <f t="shared" si="129"/>
        <v>0</v>
      </c>
      <c r="AI157" s="100">
        <f t="shared" si="117"/>
        <v>0.32267446526475813</v>
      </c>
      <c r="AJ157" s="471">
        <f t="shared" si="118"/>
        <v>1</v>
      </c>
      <c r="AK157" s="1250">
        <f t="shared" si="119"/>
        <v>30660.098280307146</v>
      </c>
      <c r="AL157" s="1251">
        <f t="shared" si="120"/>
        <v>0</v>
      </c>
      <c r="AM157" s="1251">
        <f t="shared" si="121"/>
        <v>0</v>
      </c>
      <c r="AN157" s="1251">
        <f t="shared" si="122"/>
        <v>30660.098280307146</v>
      </c>
      <c r="AO157" s="1277">
        <f t="shared" si="123"/>
        <v>0</v>
      </c>
    </row>
    <row r="158" spans="1:41">
      <c r="A158" s="89">
        <f>'Input data'!A138</f>
        <v>2038</v>
      </c>
      <c r="B158" s="152">
        <f>'Input data'!B138</f>
        <v>70.341572426693446</v>
      </c>
      <c r="C158" s="204">
        <f>'Input data'!C138</f>
        <v>6601.8179471225203</v>
      </c>
      <c r="D158" s="204">
        <f>'Input data'!D138</f>
        <v>36655559.518641047</v>
      </c>
      <c r="E158" s="473">
        <f>'Input data'!J138*C158</f>
        <v>79426.772941745454</v>
      </c>
      <c r="F158" s="474">
        <f>'Input data'!L138</f>
        <v>116082.3324603865</v>
      </c>
      <c r="G158" s="474">
        <f t="shared" si="133"/>
        <v>25725.071262263602</v>
      </c>
      <c r="H158" s="474">
        <f t="shared" si="125"/>
        <v>54250.069272968962</v>
      </c>
      <c r="I158" s="475">
        <f t="shared" si="99"/>
        <v>36655.55951864105</v>
      </c>
      <c r="J158" s="100">
        <f t="shared" si="132"/>
        <v>0.2</v>
      </c>
      <c r="K158" s="474">
        <f t="shared" si="126"/>
        <v>5075.0451084153374</v>
      </c>
      <c r="L158" s="474">
        <f t="shared" si="101"/>
        <v>0</v>
      </c>
      <c r="M158" s="474">
        <f t="shared" si="127"/>
        <v>5075.0451084153374</v>
      </c>
      <c r="N158" s="579">
        <f t="shared" si="131"/>
        <v>0.5</v>
      </c>
      <c r="O158" s="475">
        <f t="shared" si="102"/>
        <v>751.91700000000026</v>
      </c>
      <c r="P158" s="466">
        <f t="shared" si="130"/>
        <v>5826.9621084153378</v>
      </c>
      <c r="Q158" s="467">
        <f t="shared" si="103"/>
        <v>74148.178426817234</v>
      </c>
      <c r="R158" s="467">
        <f t="shared" si="128"/>
        <v>48423.107164553629</v>
      </c>
      <c r="S158" s="938">
        <f t="shared" si="104"/>
        <v>1.080300686432226</v>
      </c>
      <c r="T158" s="118" t="str">
        <f t="shared" si="105"/>
        <v>No</v>
      </c>
      <c r="U158" s="938">
        <f t="shared" si="106"/>
        <v>1</v>
      </c>
      <c r="V158" s="1247">
        <f t="shared" si="97"/>
        <v>71258.601648482116</v>
      </c>
      <c r="W158" s="1244">
        <f t="shared" si="98"/>
        <v>0.38613740663076912</v>
      </c>
      <c r="X158" s="473">
        <f t="shared" si="107"/>
        <v>29324.447614912842</v>
      </c>
      <c r="Y158" s="474">
        <f t="shared" si="108"/>
        <v>13691.460242902982</v>
      </c>
      <c r="Z158" s="474">
        <f t="shared" si="109"/>
        <v>4341.1729138260207</v>
      </c>
      <c r="AA158" s="474">
        <f t="shared" si="110"/>
        <v>0</v>
      </c>
      <c r="AB158" s="474">
        <f t="shared" si="111"/>
        <v>23901.520876840281</v>
      </c>
      <c r="AC158" s="474">
        <f t="shared" si="112"/>
        <v>71258.601648482116</v>
      </c>
      <c r="AD158" s="1240">
        <f t="shared" si="113"/>
        <v>3599.3763526492403</v>
      </c>
      <c r="AE158" s="100">
        <f t="shared" si="114"/>
        <v>0.41152151370539114</v>
      </c>
      <c r="AF158" s="100">
        <f t="shared" si="115"/>
        <v>0.19213764971761307</v>
      </c>
      <c r="AG158" s="100">
        <f t="shared" si="116"/>
        <v>6.0921387922274674E-2</v>
      </c>
      <c r="AH158" s="100">
        <f t="shared" si="129"/>
        <v>0</v>
      </c>
      <c r="AI158" s="100">
        <f t="shared" si="117"/>
        <v>0.33541944865472123</v>
      </c>
      <c r="AJ158" s="471">
        <f t="shared" si="118"/>
        <v>1</v>
      </c>
      <c r="AK158" s="1250">
        <f t="shared" si="119"/>
        <v>29324.447614912839</v>
      </c>
      <c r="AL158" s="1251">
        <f t="shared" si="120"/>
        <v>0</v>
      </c>
      <c r="AM158" s="1251">
        <f t="shared" si="121"/>
        <v>0</v>
      </c>
      <c r="AN158" s="1251">
        <f t="shared" si="122"/>
        <v>29324.447614912839</v>
      </c>
      <c r="AO158" s="1277">
        <f t="shared" si="123"/>
        <v>0</v>
      </c>
    </row>
    <row r="159" spans="1:41">
      <c r="A159" s="89">
        <f>'Input data'!A139</f>
        <v>2039</v>
      </c>
      <c r="B159" s="152">
        <f>'Input data'!B139</f>
        <v>70.856554082712819</v>
      </c>
      <c r="C159" s="204">
        <f>'Input data'!C139</f>
        <v>6791.0078131349956</v>
      </c>
      <c r="D159" s="204">
        <f>'Input data'!D139</f>
        <v>34985996.186898179</v>
      </c>
      <c r="E159" s="473">
        <f>'Input data'!J139*C159</f>
        <v>81702.924851872231</v>
      </c>
      <c r="F159" s="474">
        <f>'Input data'!L139</f>
        <v>116688.92103877041</v>
      </c>
      <c r="G159" s="474">
        <f t="shared" si="133"/>
        <v>24823.692937269236</v>
      </c>
      <c r="H159" s="474">
        <f t="shared" si="125"/>
        <v>54890.714285369992</v>
      </c>
      <c r="I159" s="475">
        <f t="shared" si="99"/>
        <v>34985.996186898177</v>
      </c>
      <c r="J159" s="100">
        <f t="shared" si="132"/>
        <v>0.2</v>
      </c>
      <c r="K159" s="474">
        <f t="shared" si="126"/>
        <v>4843.890289576947</v>
      </c>
      <c r="L159" s="474">
        <f t="shared" si="101"/>
        <v>0</v>
      </c>
      <c r="M159" s="474">
        <f t="shared" si="127"/>
        <v>4843.890289576947</v>
      </c>
      <c r="N159" s="579">
        <f t="shared" si="131"/>
        <v>0.5</v>
      </c>
      <c r="O159" s="475">
        <f t="shared" si="102"/>
        <v>751.91700000000026</v>
      </c>
      <c r="P159" s="466">
        <f t="shared" si="130"/>
        <v>5595.8072895769474</v>
      </c>
      <c r="Q159" s="467">
        <f t="shared" si="103"/>
        <v>74118.599933062287</v>
      </c>
      <c r="R159" s="467">
        <f t="shared" si="128"/>
        <v>49294.906995793048</v>
      </c>
      <c r="S159" s="938">
        <f t="shared" si="104"/>
        <v>1.0686129965345486</v>
      </c>
      <c r="T159" s="118" t="str">
        <f t="shared" si="105"/>
        <v>No</v>
      </c>
      <c r="U159" s="938">
        <f t="shared" si="106"/>
        <v>1</v>
      </c>
      <c r="V159" s="1247">
        <f t="shared" si="97"/>
        <v>70559.118055226674</v>
      </c>
      <c r="W159" s="1244">
        <f t="shared" si="98"/>
        <v>0.39532290274769877</v>
      </c>
      <c r="X159" s="473">
        <f t="shared" si="107"/>
        <v>27988.796949518543</v>
      </c>
      <c r="Y159" s="474">
        <f t="shared" si="108"/>
        <v>13539.817590620098</v>
      </c>
      <c r="Z159" s="474">
        <f t="shared" si="109"/>
        <v>4444.0310736329275</v>
      </c>
      <c r="AA159" s="474">
        <f t="shared" si="110"/>
        <v>0</v>
      </c>
      <c r="AB159" s="474">
        <f t="shared" si="111"/>
        <v>24586.472441455106</v>
      </c>
      <c r="AC159" s="474">
        <f t="shared" si="112"/>
        <v>70559.118055226674</v>
      </c>
      <c r="AD159" s="1240">
        <f t="shared" si="113"/>
        <v>3165.1040122493068</v>
      </c>
      <c r="AE159" s="100">
        <f t="shared" si="114"/>
        <v>0.39667158151851745</v>
      </c>
      <c r="AF159" s="100">
        <f t="shared" si="115"/>
        <v>0.19189323738460665</v>
      </c>
      <c r="AG159" s="100">
        <f t="shared" si="116"/>
        <v>6.2983087035676677E-2</v>
      </c>
      <c r="AH159" s="100">
        <f t="shared" si="129"/>
        <v>0</v>
      </c>
      <c r="AI159" s="100">
        <f t="shared" si="117"/>
        <v>0.3484520940611992</v>
      </c>
      <c r="AJ159" s="471">
        <f t="shared" si="118"/>
        <v>1</v>
      </c>
      <c r="AK159" s="1250">
        <f t="shared" si="119"/>
        <v>27988.796949518543</v>
      </c>
      <c r="AL159" s="1251">
        <f t="shared" si="120"/>
        <v>0</v>
      </c>
      <c r="AM159" s="1251">
        <f t="shared" si="121"/>
        <v>0</v>
      </c>
      <c r="AN159" s="1251">
        <f t="shared" si="122"/>
        <v>27988.796949518543</v>
      </c>
      <c r="AO159" s="1277">
        <f t="shared" si="123"/>
        <v>0</v>
      </c>
    </row>
    <row r="160" spans="1:41" s="1" customFormat="1">
      <c r="A160" s="89">
        <f>'Input data'!A140</f>
        <v>2040</v>
      </c>
      <c r="B160" s="152">
        <f>'Input data'!B140</f>
        <v>71.375305999999995</v>
      </c>
      <c r="C160" s="204">
        <f>'Input data'!C140</f>
        <v>6984.5262976576987</v>
      </c>
      <c r="D160" s="204">
        <f>'Input data'!D140</f>
        <v>33316432.855155304</v>
      </c>
      <c r="E160" s="473">
        <f>'Input data'!J140*C160</f>
        <v>84031.154568796614</v>
      </c>
      <c r="F160" s="474">
        <f>'Input data'!L140</f>
        <v>117347.58742395192</v>
      </c>
      <c r="G160" s="474">
        <f>G137*(1-$C$5)</f>
        <v>23953.89792166539</v>
      </c>
      <c r="H160" s="474">
        <f t="shared" si="125"/>
        <v>55529.658604701392</v>
      </c>
      <c r="I160" s="475">
        <f t="shared" si="99"/>
        <v>33316.432855155304</v>
      </c>
      <c r="J160" s="100">
        <f t="shared" si="132"/>
        <v>0.2</v>
      </c>
      <c r="K160" s="474">
        <f t="shared" si="126"/>
        <v>4612.7354707385584</v>
      </c>
      <c r="L160" s="474">
        <f t="shared" si="101"/>
        <v>0</v>
      </c>
      <c r="M160" s="474">
        <f t="shared" si="127"/>
        <v>4612.7354707385584</v>
      </c>
      <c r="N160" s="579">
        <f t="shared" si="131"/>
        <v>0.5</v>
      </c>
      <c r="O160" s="475">
        <f t="shared" si="102"/>
        <v>751.91700000000026</v>
      </c>
      <c r="P160" s="466">
        <f t="shared" si="130"/>
        <v>5364.6524707385588</v>
      </c>
      <c r="Q160" s="467">
        <f t="shared" si="103"/>
        <v>74118.904055628227</v>
      </c>
      <c r="R160" s="467">
        <f t="shared" si="128"/>
        <v>50165.006133962837</v>
      </c>
      <c r="S160" s="938">
        <f t="shared" si="104"/>
        <v>1.0568672763100677</v>
      </c>
      <c r="T160" s="118" t="str">
        <f t="shared" si="105"/>
        <v>No</v>
      </c>
      <c r="U160" s="938">
        <f t="shared" si="106"/>
        <v>1</v>
      </c>
      <c r="V160" s="1247">
        <f t="shared" si="97"/>
        <v>69881.829652447952</v>
      </c>
      <c r="W160" s="1244">
        <f t="shared" si="98"/>
        <v>0.4044885695009669</v>
      </c>
      <c r="X160" s="473">
        <f t="shared" si="107"/>
        <v>26653.146284124246</v>
      </c>
      <c r="Y160" s="474">
        <f t="shared" si="108"/>
        <v>13392.345232303656</v>
      </c>
      <c r="Z160" s="474">
        <f t="shared" si="109"/>
        <v>4549.242603331425</v>
      </c>
      <c r="AA160" s="474">
        <f t="shared" si="110"/>
        <v>0</v>
      </c>
      <c r="AB160" s="474">
        <f t="shared" si="111"/>
        <v>25287.095532688621</v>
      </c>
      <c r="AC160" s="474">
        <f t="shared" si="112"/>
        <v>69881.829652447952</v>
      </c>
      <c r="AD160" s="1240">
        <f t="shared" si="113"/>
        <v>2699.2483624588567</v>
      </c>
      <c r="AE160" s="100">
        <f t="shared" si="114"/>
        <v>0.38140309743865713</v>
      </c>
      <c r="AF160" s="100">
        <f t="shared" si="115"/>
        <v>0.1916427388766076</v>
      </c>
      <c r="AG160" s="100">
        <f t="shared" si="116"/>
        <v>6.5099076912507048E-2</v>
      </c>
      <c r="AH160" s="100">
        <f t="shared" si="129"/>
        <v>0</v>
      </c>
      <c r="AI160" s="100">
        <f t="shared" si="117"/>
        <v>0.36185508677222816</v>
      </c>
      <c r="AJ160" s="471">
        <f t="shared" si="118"/>
        <v>1</v>
      </c>
      <c r="AK160" s="1250">
        <f t="shared" si="119"/>
        <v>26653.146284124239</v>
      </c>
      <c r="AL160" s="1251">
        <f t="shared" si="120"/>
        <v>0</v>
      </c>
      <c r="AM160" s="1251">
        <f t="shared" si="121"/>
        <v>0</v>
      </c>
      <c r="AN160" s="1251">
        <f t="shared" si="122"/>
        <v>26653.146284124239</v>
      </c>
      <c r="AO160" s="1277">
        <f t="shared" si="123"/>
        <v>0</v>
      </c>
    </row>
    <row r="161" spans="1:41">
      <c r="A161" s="89">
        <f>'Input data'!A141</f>
        <v>2041</v>
      </c>
      <c r="B161" s="152">
        <f>'Input data'!B141</f>
        <v>71.818612994947316</v>
      </c>
      <c r="C161" s="204">
        <f>'Input data'!C141</f>
        <v>7185.3982187188903</v>
      </c>
      <c r="D161" s="204">
        <f>'Input data'!D141</f>
        <v>30696987.018642712</v>
      </c>
      <c r="E161" s="473">
        <f>'Input data'!J141*C161</f>
        <v>86447.853816229443</v>
      </c>
      <c r="F161" s="474">
        <f>'Input data'!L141</f>
        <v>117144.84083487216</v>
      </c>
      <c r="G161" s="474">
        <f>$G$160*(1+((($G$170/$G$160)^(1/($A$170-$A$160)))-1))^(A161-$A$160)</f>
        <v>22650.218174049241</v>
      </c>
      <c r="H161" s="474">
        <f t="shared" si="125"/>
        <v>55761.832717860831</v>
      </c>
      <c r="I161" s="475">
        <f t="shared" si="99"/>
        <v>30696.987018642711</v>
      </c>
      <c r="J161" s="100">
        <f t="shared" si="132"/>
        <v>0.2</v>
      </c>
      <c r="K161" s="474">
        <f t="shared" si="126"/>
        <v>4250.0672710459121</v>
      </c>
      <c r="L161" s="474">
        <f t="shared" si="101"/>
        <v>0</v>
      </c>
      <c r="M161" s="474">
        <f t="shared" si="127"/>
        <v>4250.0672710459121</v>
      </c>
      <c r="N161" s="579">
        <f t="shared" si="131"/>
        <v>0.5</v>
      </c>
      <c r="O161" s="475">
        <f t="shared" si="102"/>
        <v>751.91700000000026</v>
      </c>
      <c r="P161" s="466">
        <f t="shared" si="130"/>
        <v>5001.9842710459125</v>
      </c>
      <c r="Q161" s="467">
        <f t="shared" si="103"/>
        <v>73410.066620864149</v>
      </c>
      <c r="R161" s="467">
        <f t="shared" si="128"/>
        <v>50759.848446814911</v>
      </c>
      <c r="S161" s="938">
        <f t="shared" si="104"/>
        <v>1.0390434949825087</v>
      </c>
      <c r="T161" s="118" t="str">
        <f t="shared" si="105"/>
        <v>No</v>
      </c>
      <c r="U161" s="938">
        <f t="shared" si="106"/>
        <v>1</v>
      </c>
      <c r="V161" s="1247">
        <f t="shared" si="97"/>
        <v>68292.363828922185</v>
      </c>
      <c r="W161" s="1244">
        <f t="shared" si="98"/>
        <v>0.41702627838995165</v>
      </c>
      <c r="X161" s="473">
        <f t="shared" si="107"/>
        <v>24557.58961491417</v>
      </c>
      <c r="Y161" s="474">
        <f t="shared" si="108"/>
        <v>13061.980848589763</v>
      </c>
      <c r="Z161" s="474">
        <f t="shared" si="109"/>
        <v>4658.452026609255</v>
      </c>
      <c r="AA161" s="474">
        <f t="shared" si="110"/>
        <v>0</v>
      </c>
      <c r="AB161" s="474">
        <f t="shared" si="111"/>
        <v>26014.341338808998</v>
      </c>
      <c r="AC161" s="474">
        <f t="shared" si="112"/>
        <v>68292.363828922185</v>
      </c>
      <c r="AD161" s="1240">
        <f t="shared" si="113"/>
        <v>1907.3714408649284</v>
      </c>
      <c r="AE161" s="100">
        <f t="shared" si="114"/>
        <v>0.359594956713358</v>
      </c>
      <c r="AF161" s="100">
        <f t="shared" si="115"/>
        <v>0.19126561325818309</v>
      </c>
      <c r="AG161" s="100">
        <f t="shared" si="116"/>
        <v>6.8213366259792213E-2</v>
      </c>
      <c r="AH161" s="100">
        <f t="shared" si="129"/>
        <v>0</v>
      </c>
      <c r="AI161" s="100">
        <f t="shared" si="117"/>
        <v>0.38092606376866667</v>
      </c>
      <c r="AJ161" s="471">
        <f t="shared" si="118"/>
        <v>1</v>
      </c>
      <c r="AK161" s="1250">
        <f t="shared" si="119"/>
        <v>24557.58961491417</v>
      </c>
      <c r="AL161" s="1251">
        <f t="shared" si="120"/>
        <v>0</v>
      </c>
      <c r="AM161" s="1251">
        <f t="shared" si="121"/>
        <v>0</v>
      </c>
      <c r="AN161" s="1251">
        <f t="shared" si="122"/>
        <v>24557.58961491417</v>
      </c>
      <c r="AO161" s="1277">
        <f t="shared" si="123"/>
        <v>0</v>
      </c>
    </row>
    <row r="162" spans="1:41">
      <c r="A162" s="89">
        <f>'Input data'!A142</f>
        <v>2042</v>
      </c>
      <c r="B162" s="152">
        <f>'Input data'!B142</f>
        <v>72.264673338395411</v>
      </c>
      <c r="C162" s="204">
        <f>'Input data'!C142</f>
        <v>7378.5415978844649</v>
      </c>
      <c r="D162" s="204">
        <f>'Input data'!D142</f>
        <v>28077541.182130113</v>
      </c>
      <c r="E162" s="473">
        <f>'Input data'!J142*C162</f>
        <v>88771.570623487351</v>
      </c>
      <c r="F162" s="474">
        <f>'Input data'!L142</f>
        <v>116849.11180561746</v>
      </c>
      <c r="G162" s="474">
        <f t="shared" ref="G162:G169" si="134">$G$160*(1+((($G$170/$G$160)^(1/($A$170-$A$160)))-1))^(A162-$A$160)</f>
        <v>21417.490590039302</v>
      </c>
      <c r="H162" s="474">
        <f t="shared" si="125"/>
        <v>55869.700681230897</v>
      </c>
      <c r="I162" s="475">
        <f t="shared" si="99"/>
        <v>28077.541182130113</v>
      </c>
      <c r="J162" s="100">
        <f t="shared" si="132"/>
        <v>0.2</v>
      </c>
      <c r="K162" s="474">
        <f t="shared" si="126"/>
        <v>3887.3990713532667</v>
      </c>
      <c r="L162" s="474">
        <f t="shared" si="101"/>
        <v>0</v>
      </c>
      <c r="M162" s="474">
        <f t="shared" si="127"/>
        <v>3887.3990713532667</v>
      </c>
      <c r="N162" s="579">
        <f t="shared" si="131"/>
        <v>0.5</v>
      </c>
      <c r="O162" s="475">
        <f t="shared" si="102"/>
        <v>751.91700000000026</v>
      </c>
      <c r="P162" s="466">
        <f t="shared" si="130"/>
        <v>4639.316071353267</v>
      </c>
      <c r="Q162" s="467">
        <f t="shared" si="103"/>
        <v>72647.875199916933</v>
      </c>
      <c r="R162" s="467">
        <f t="shared" si="128"/>
        <v>51230.384609877627</v>
      </c>
      <c r="S162" s="938">
        <f t="shared" si="104"/>
        <v>1.0208134866079108</v>
      </c>
      <c r="T162" s="118" t="str">
        <f t="shared" si="105"/>
        <v>No</v>
      </c>
      <c r="U162" s="938">
        <f t="shared" si="106"/>
        <v>1</v>
      </c>
      <c r="V162" s="1247">
        <f t="shared" si="97"/>
        <v>66663.269551404635</v>
      </c>
      <c r="W162" s="1244">
        <f t="shared" si="98"/>
        <v>0.42949271482438578</v>
      </c>
      <c r="X162" s="473">
        <f t="shared" si="107"/>
        <v>22462.032945704093</v>
      </c>
      <c r="Y162" s="474">
        <f t="shared" si="108"/>
        <v>12724.170603901857</v>
      </c>
      <c r="Z162" s="474">
        <f t="shared" si="109"/>
        <v>4763.4596201901322</v>
      </c>
      <c r="AA162" s="474">
        <f t="shared" si="110"/>
        <v>0</v>
      </c>
      <c r="AB162" s="474">
        <f t="shared" si="111"/>
        <v>26713.606381608544</v>
      </c>
      <c r="AC162" s="474">
        <f t="shared" si="112"/>
        <v>66663.269551404635</v>
      </c>
      <c r="AD162" s="1240">
        <f t="shared" si="113"/>
        <v>1044.5423556647911</v>
      </c>
      <c r="AE162" s="100">
        <f t="shared" si="114"/>
        <v>0.33694766393633635</v>
      </c>
      <c r="AF162" s="100">
        <f t="shared" si="115"/>
        <v>0.1908722852858295</v>
      </c>
      <c r="AG162" s="100">
        <f t="shared" si="116"/>
        <v>7.1455535443202142E-2</v>
      </c>
      <c r="AH162" s="100">
        <f t="shared" si="129"/>
        <v>0</v>
      </c>
      <c r="AI162" s="100">
        <f t="shared" si="117"/>
        <v>0.40072451533463188</v>
      </c>
      <c r="AJ162" s="471">
        <f t="shared" si="118"/>
        <v>0.99999999999999978</v>
      </c>
      <c r="AK162" s="1250">
        <f t="shared" si="119"/>
        <v>22462.03294570409</v>
      </c>
      <c r="AL162" s="1251">
        <f t="shared" si="120"/>
        <v>0</v>
      </c>
      <c r="AM162" s="1251">
        <f t="shared" si="121"/>
        <v>0</v>
      </c>
      <c r="AN162" s="1251">
        <f t="shared" si="122"/>
        <v>22462.03294570409</v>
      </c>
      <c r="AO162" s="1277">
        <f t="shared" si="123"/>
        <v>0</v>
      </c>
    </row>
    <row r="163" spans="1:41">
      <c r="A163" s="89">
        <f>'Input data'!A143</f>
        <v>2043</v>
      </c>
      <c r="B163" s="152">
        <f>'Input data'!B143</f>
        <v>72.713504131197794</v>
      </c>
      <c r="C163" s="204">
        <f>'Input data'!C143</f>
        <v>7577.166622606117</v>
      </c>
      <c r="D163" s="204">
        <f>'Input data'!D143</f>
        <v>25458095.345617522</v>
      </c>
      <c r="E163" s="473">
        <f>'Input data'!J143*C163</f>
        <v>91161.237358540457</v>
      </c>
      <c r="F163" s="474">
        <f>'Input data'!L143</f>
        <v>116619.33270415798</v>
      </c>
      <c r="G163" s="474">
        <f t="shared" si="134"/>
        <v>20251.853631148377</v>
      </c>
      <c r="H163" s="474">
        <f t="shared" si="125"/>
        <v>55948.320557597181</v>
      </c>
      <c r="I163" s="475">
        <f t="shared" si="99"/>
        <v>25458.095345617523</v>
      </c>
      <c r="J163" s="100">
        <f t="shared" si="132"/>
        <v>0.2</v>
      </c>
      <c r="K163" s="474">
        <f t="shared" si="126"/>
        <v>3524.7308716606217</v>
      </c>
      <c r="L163" s="474">
        <f t="shared" si="101"/>
        <v>0</v>
      </c>
      <c r="M163" s="474">
        <f t="shared" si="127"/>
        <v>3524.7308716606217</v>
      </c>
      <c r="N163" s="579">
        <f t="shared" si="131"/>
        <v>0.5</v>
      </c>
      <c r="O163" s="475">
        <f t="shared" si="102"/>
        <v>751.91700000000026</v>
      </c>
      <c r="P163" s="466">
        <f t="shared" si="130"/>
        <v>4276.6478716606216</v>
      </c>
      <c r="Q163" s="467">
        <f t="shared" si="103"/>
        <v>71923.526317084936</v>
      </c>
      <c r="R163" s="467">
        <f t="shared" si="128"/>
        <v>51671.672685936559</v>
      </c>
      <c r="S163" s="938">
        <f t="shared" si="104"/>
        <v>1.0022232196228333</v>
      </c>
      <c r="T163" s="118" t="str">
        <f t="shared" si="105"/>
        <v>No</v>
      </c>
      <c r="U163" s="938">
        <f t="shared" si="106"/>
        <v>1</v>
      </c>
      <c r="V163" s="1247">
        <f t="shared" si="97"/>
        <v>65062.282663567079</v>
      </c>
      <c r="W163" s="1244">
        <f t="shared" si="98"/>
        <v>0.44209693920459781</v>
      </c>
      <c r="X163" s="473">
        <f t="shared" si="107"/>
        <v>20366.476276494021</v>
      </c>
      <c r="Y163" s="474">
        <f t="shared" si="108"/>
        <v>12391.641506844466</v>
      </c>
      <c r="Z163" s="474">
        <f t="shared" si="109"/>
        <v>4871.4474578321506</v>
      </c>
      <c r="AA163" s="474">
        <f t="shared" si="110"/>
        <v>0</v>
      </c>
      <c r="AB163" s="474">
        <f t="shared" si="111"/>
        <v>27432.717422396443</v>
      </c>
      <c r="AC163" s="474">
        <f t="shared" si="112"/>
        <v>65062.282663567079</v>
      </c>
      <c r="AD163" s="1240">
        <f t="shared" si="113"/>
        <v>114.62264534564383</v>
      </c>
      <c r="AE163" s="100">
        <f t="shared" si="114"/>
        <v>0.31303046008711027</v>
      </c>
      <c r="AF163" s="100">
        <f t="shared" si="115"/>
        <v>0.19045814256042715</v>
      </c>
      <c r="AG163" s="100">
        <f t="shared" si="116"/>
        <v>7.4873602007204318E-2</v>
      </c>
      <c r="AH163" s="100">
        <f t="shared" si="129"/>
        <v>0</v>
      </c>
      <c r="AI163" s="100">
        <f t="shared" si="117"/>
        <v>0.4216377953452583</v>
      </c>
      <c r="AJ163" s="471">
        <f t="shared" si="118"/>
        <v>1</v>
      </c>
      <c r="AK163" s="1250">
        <f t="shared" si="119"/>
        <v>20366.476276494021</v>
      </c>
      <c r="AL163" s="1251">
        <f t="shared" si="120"/>
        <v>0</v>
      </c>
      <c r="AM163" s="1251">
        <f t="shared" si="121"/>
        <v>0</v>
      </c>
      <c r="AN163" s="1251">
        <f t="shared" si="122"/>
        <v>20366.476276494021</v>
      </c>
      <c r="AO163" s="1277">
        <f t="shared" si="123"/>
        <v>0</v>
      </c>
    </row>
    <row r="164" spans="1:41">
      <c r="A164" s="89">
        <f>'Input data'!A144</f>
        <v>2044</v>
      </c>
      <c r="B164" s="152">
        <f>'Input data'!B144</f>
        <v>73.165122580420132</v>
      </c>
      <c r="C164" s="204">
        <f>'Input data'!C144</f>
        <v>7783.6023406905715</v>
      </c>
      <c r="D164" s="204">
        <f>'Input data'!D144</f>
        <v>22838649.509104934</v>
      </c>
      <c r="E164" s="473">
        <f>'Input data'!J144*C164</f>
        <v>93644.874901818475</v>
      </c>
      <c r="F164" s="474">
        <f>'Input data'!L144</f>
        <v>116483.5244109234</v>
      </c>
      <c r="G164" s="474">
        <f t="shared" si="134"/>
        <v>19149.655921324487</v>
      </c>
      <c r="H164" s="474">
        <f t="shared" si="125"/>
        <v>56017.422303703541</v>
      </c>
      <c r="I164" s="475">
        <f t="shared" si="99"/>
        <v>22838.649509104933</v>
      </c>
      <c r="J164" s="100">
        <f t="shared" si="132"/>
        <v>0.2</v>
      </c>
      <c r="K164" s="474">
        <f t="shared" si="126"/>
        <v>3162.0626719679767</v>
      </c>
      <c r="L164" s="474">
        <f t="shared" si="101"/>
        <v>0</v>
      </c>
      <c r="M164" s="474">
        <f t="shared" si="127"/>
        <v>3162.0626719679767</v>
      </c>
      <c r="N164" s="579">
        <f t="shared" si="131"/>
        <v>0.5</v>
      </c>
      <c r="O164" s="475">
        <f t="shared" si="102"/>
        <v>751.91700000000026</v>
      </c>
      <c r="P164" s="466">
        <f t="shared" si="130"/>
        <v>3913.9796719679771</v>
      </c>
      <c r="Q164" s="467">
        <f t="shared" si="103"/>
        <v>71253.098553060059</v>
      </c>
      <c r="R164" s="467">
        <f t="shared" si="128"/>
        <v>52103.442631735568</v>
      </c>
      <c r="S164" s="938">
        <f t="shared" si="104"/>
        <v>0.98341449273085058</v>
      </c>
      <c r="T164" s="118" t="str">
        <f t="shared" si="105"/>
        <v>Yes</v>
      </c>
      <c r="U164" s="938">
        <f t="shared" si="106"/>
        <v>0.98341449273085058</v>
      </c>
      <c r="V164" s="1247">
        <f>AC164</f>
        <v>64380.081779187865</v>
      </c>
      <c r="W164" s="1244">
        <f t="shared" si="98"/>
        <v>0.44730310913265492</v>
      </c>
      <c r="X164" s="473">
        <f t="shared" si="107"/>
        <v>19149.655921324495</v>
      </c>
      <c r="Y164" s="474">
        <f t="shared" si="108"/>
        <v>12066.637417437363</v>
      </c>
      <c r="Z164" s="474">
        <f t="shared" si="109"/>
        <v>4983.6817890261063</v>
      </c>
      <c r="AA164" s="474">
        <f t="shared" si="110"/>
        <v>0</v>
      </c>
      <c r="AB164" s="474">
        <f t="shared" si="111"/>
        <v>28180.106651399903</v>
      </c>
      <c r="AC164" s="474">
        <f t="shared" si="112"/>
        <v>64380.081779187865</v>
      </c>
      <c r="AD164" s="1240">
        <f t="shared" si="113"/>
        <v>0</v>
      </c>
      <c r="AE164" s="100">
        <f t="shared" si="114"/>
        <v>0.29744690270826901</v>
      </c>
      <c r="AF164" s="100">
        <f t="shared" si="115"/>
        <v>0.18742811571479151</v>
      </c>
      <c r="AG164" s="100">
        <f t="shared" si="116"/>
        <v>7.7410305350639988E-2</v>
      </c>
      <c r="AH164" s="100">
        <f t="shared" si="129"/>
        <v>0</v>
      </c>
      <c r="AI164" s="100">
        <f t="shared" si="117"/>
        <v>0.43771467622629956</v>
      </c>
      <c r="AJ164" s="471">
        <f t="shared" si="118"/>
        <v>1</v>
      </c>
      <c r="AK164" s="1250">
        <f t="shared" si="119"/>
        <v>18270.919607283948</v>
      </c>
      <c r="AL164" s="1251">
        <f t="shared" si="120"/>
        <v>828.93403205042137</v>
      </c>
      <c r="AM164" s="1251">
        <f t="shared" si="121"/>
        <v>49.802281990123582</v>
      </c>
      <c r="AN164" s="1251">
        <f t="shared" si="122"/>
        <v>19149.655921324491</v>
      </c>
      <c r="AO164" s="1277">
        <f t="shared" si="123"/>
        <v>0</v>
      </c>
    </row>
    <row r="165" spans="1:41">
      <c r="A165" s="89">
        <f>'Input data'!A145</f>
        <v>2045</v>
      </c>
      <c r="B165" s="152">
        <f>'Input data'!B145</f>
        <v>73.619545999999971</v>
      </c>
      <c r="C165" s="204">
        <f>'Input data'!C145</f>
        <v>7997.9247065980107</v>
      </c>
      <c r="D165" s="204">
        <f>'Input data'!D145</f>
        <v>20219203.672592338</v>
      </c>
      <c r="E165" s="473">
        <f>'Input data'!J145*C165</f>
        <v>96223.397064897435</v>
      </c>
      <c r="F165" s="474">
        <f>'Input data'!L145</f>
        <v>116442.60073748977</v>
      </c>
      <c r="G165" s="474">
        <f t="shared" si="134"/>
        <v>18107.444808958157</v>
      </c>
      <c r="H165" s="474">
        <f t="shared" si="125"/>
        <v>56080.982922747891</v>
      </c>
      <c r="I165" s="475">
        <f t="shared" si="99"/>
        <v>20219.203672592339</v>
      </c>
      <c r="J165" s="100">
        <f t="shared" si="132"/>
        <v>0.2</v>
      </c>
      <c r="K165" s="474">
        <f t="shared" si="126"/>
        <v>2799.3944722753313</v>
      </c>
      <c r="L165" s="474">
        <f t="shared" si="101"/>
        <v>0</v>
      </c>
      <c r="M165" s="474">
        <f t="shared" si="127"/>
        <v>2799.3944722753313</v>
      </c>
      <c r="N165" s="579">
        <f t="shared" si="131"/>
        <v>0.5</v>
      </c>
      <c r="O165" s="475">
        <f t="shared" si="102"/>
        <v>751.91700000000026</v>
      </c>
      <c r="P165" s="466">
        <f t="shared" si="130"/>
        <v>3551.3114722753317</v>
      </c>
      <c r="Q165" s="467">
        <f t="shared" si="103"/>
        <v>70637.11625943071</v>
      </c>
      <c r="R165" s="467">
        <f t="shared" si="128"/>
        <v>52529.671450472553</v>
      </c>
      <c r="S165" s="938">
        <f t="shared" si="104"/>
        <v>0.96452406040834104</v>
      </c>
      <c r="T165" s="118" t="str">
        <f t="shared" si="105"/>
        <v>Yes</v>
      </c>
      <c r="U165" s="938">
        <f t="shared" si="106"/>
        <v>0.96452406040834104</v>
      </c>
      <c r="V165" s="1247">
        <f t="shared" si="97"/>
        <v>63912.929287017221</v>
      </c>
      <c r="W165" s="1244">
        <f t="shared" si="98"/>
        <v>0.45112073345816417</v>
      </c>
      <c r="X165" s="473">
        <f t="shared" si="107"/>
        <v>18107.444808958157</v>
      </c>
      <c r="Y165" s="474">
        <f t="shared" si="108"/>
        <v>11749.231512012966</v>
      </c>
      <c r="Z165" s="474">
        <f t="shared" si="109"/>
        <v>5100.203908457429</v>
      </c>
      <c r="AA165" s="474">
        <f t="shared" si="110"/>
        <v>0</v>
      </c>
      <c r="AB165" s="474">
        <f t="shared" si="111"/>
        <v>28956.049057588672</v>
      </c>
      <c r="AC165" s="474">
        <f t="shared" si="112"/>
        <v>63912.929287017221</v>
      </c>
      <c r="AD165" s="1240">
        <f t="shared" si="113"/>
        <v>0</v>
      </c>
      <c r="AE165" s="100">
        <f t="shared" si="114"/>
        <v>0.28331426850492303</v>
      </c>
      <c r="AF165" s="100">
        <f t="shared" si="115"/>
        <v>0.1838318418993137</v>
      </c>
      <c r="AG165" s="100">
        <f t="shared" si="116"/>
        <v>7.9799251346369518E-2</v>
      </c>
      <c r="AH165" s="100">
        <f t="shared" si="129"/>
        <v>0</v>
      </c>
      <c r="AI165" s="100">
        <f t="shared" si="117"/>
        <v>0.45305463824939379</v>
      </c>
      <c r="AJ165" s="471">
        <f t="shared" si="118"/>
        <v>1</v>
      </c>
      <c r="AK165" s="1250">
        <f t="shared" si="119"/>
        <v>16175.362938073869</v>
      </c>
      <c r="AL165" s="1251">
        <f t="shared" si="120"/>
        <v>1821.8884771775511</v>
      </c>
      <c r="AM165" s="1251">
        <f t="shared" si="121"/>
        <v>110.19339370673555</v>
      </c>
      <c r="AN165" s="1251">
        <f t="shared" si="122"/>
        <v>18107.444808958157</v>
      </c>
      <c r="AO165" s="1277">
        <f t="shared" si="123"/>
        <v>0</v>
      </c>
    </row>
    <row r="166" spans="1:41">
      <c r="A166" s="89">
        <f>'Input data'!A146</f>
        <v>2046</v>
      </c>
      <c r="B166" s="152">
        <f>'Input data'!B146</f>
        <v>73.995362001779526</v>
      </c>
      <c r="C166" s="204">
        <f>'Input data'!C146</f>
        <v>8212.8506709212088</v>
      </c>
      <c r="D166" s="204">
        <f>'Input data'!D146</f>
        <v>16217597.669678843</v>
      </c>
      <c r="E166" s="473">
        <f>'Input data'!J146*C166</f>
        <v>98809.181148056668</v>
      </c>
      <c r="F166" s="474">
        <f>'Input data'!L146</f>
        <v>115026.77881773551</v>
      </c>
      <c r="G166" s="474">
        <f t="shared" si="134"/>
        <v>17121.955551397077</v>
      </c>
      <c r="H166" s="474">
        <f t="shared" si="125"/>
        <v>54794.897294649425</v>
      </c>
      <c r="I166" s="475">
        <f t="shared" si="99"/>
        <v>16217.597669678842</v>
      </c>
      <c r="J166" s="100">
        <f t="shared" si="132"/>
        <v>0.2</v>
      </c>
      <c r="K166" s="474">
        <f t="shared" si="126"/>
        <v>2245.3630719207995</v>
      </c>
      <c r="L166" s="474">
        <f t="shared" si="101"/>
        <v>0</v>
      </c>
      <c r="M166" s="474">
        <f t="shared" si="127"/>
        <v>2245.3630719207995</v>
      </c>
      <c r="N166" s="579">
        <f t="shared" si="131"/>
        <v>0.5</v>
      </c>
      <c r="O166" s="475">
        <f t="shared" si="102"/>
        <v>751.91700000000026</v>
      </c>
      <c r="P166" s="466">
        <f t="shared" si="130"/>
        <v>2997.2800719207999</v>
      </c>
      <c r="Q166" s="467">
        <f t="shared" si="103"/>
        <v>68919.5727741257</v>
      </c>
      <c r="R166" s="467">
        <f t="shared" si="128"/>
        <v>51797.617222728622</v>
      </c>
      <c r="S166" s="938">
        <f t="shared" si="104"/>
        <v>0.92585859786449609</v>
      </c>
      <c r="T166" s="118" t="str">
        <f t="shared" si="105"/>
        <v>Yes</v>
      </c>
      <c r="U166" s="938">
        <f t="shared" si="106"/>
        <v>0.92585859786449609</v>
      </c>
      <c r="V166" s="1247">
        <f t="shared" si="97"/>
        <v>63229.161595006895</v>
      </c>
      <c r="W166" s="1244">
        <f t="shared" si="98"/>
        <v>0.45030920412718844</v>
      </c>
      <c r="X166" s="473">
        <f t="shared" si="107"/>
        <v>17121.955551397081</v>
      </c>
      <c r="Y166" s="474">
        <f t="shared" si="108"/>
        <v>11155.975094370006</v>
      </c>
      <c r="Z166" s="474">
        <f t="shared" si="109"/>
        <v>5217.0541904040911</v>
      </c>
      <c r="AA166" s="474">
        <f t="shared" si="110"/>
        <v>0</v>
      </c>
      <c r="AB166" s="474">
        <f t="shared" si="111"/>
        <v>29734.176758835722</v>
      </c>
      <c r="AC166" s="474">
        <f t="shared" si="112"/>
        <v>63229.161595006895</v>
      </c>
      <c r="AD166" s="1240">
        <f t="shared" si="113"/>
        <v>0</v>
      </c>
      <c r="AE166" s="100">
        <f t="shared" si="114"/>
        <v>0.27079206997976663</v>
      </c>
      <c r="AF166" s="100">
        <f t="shared" si="115"/>
        <v>0.17643718203676095</v>
      </c>
      <c r="AG166" s="100">
        <f t="shared" si="116"/>
        <v>8.2510254110598133E-2</v>
      </c>
      <c r="AH166" s="100">
        <f t="shared" si="129"/>
        <v>0</v>
      </c>
      <c r="AI166" s="100">
        <f t="shared" si="117"/>
        <v>0.47026049387287433</v>
      </c>
      <c r="AJ166" s="471">
        <f t="shared" si="118"/>
        <v>1</v>
      </c>
      <c r="AK166" s="1250">
        <f t="shared" si="119"/>
        <v>12974.078135743073</v>
      </c>
      <c r="AL166" s="1251">
        <f t="shared" si="120"/>
        <v>3909.8967811944872</v>
      </c>
      <c r="AM166" s="1251">
        <f t="shared" si="121"/>
        <v>237.98063445951723</v>
      </c>
      <c r="AN166" s="1251">
        <f t="shared" si="122"/>
        <v>17121.955551397077</v>
      </c>
      <c r="AO166" s="1277">
        <f t="shared" si="123"/>
        <v>0</v>
      </c>
    </row>
    <row r="167" spans="1:41">
      <c r="A167" s="89">
        <f>'Input data'!A147</f>
        <v>2047</v>
      </c>
      <c r="B167" s="152">
        <f>'Input data'!B147</f>
        <v>74.373096484110363</v>
      </c>
      <c r="C167" s="204">
        <f>'Input data'!C147</f>
        <v>8261.0803168727289</v>
      </c>
      <c r="D167" s="204">
        <f>'Input data'!D147</f>
        <v>12215991.666765345</v>
      </c>
      <c r="E167" s="473">
        <f>'Input data'!J147*C167</f>
        <v>99389.434219064453</v>
      </c>
      <c r="F167" s="474">
        <f>'Input data'!L147</f>
        <v>111605.4258858298</v>
      </c>
      <c r="G167" s="474">
        <f t="shared" si="134"/>
        <v>16190.101088088571</v>
      </c>
      <c r="H167" s="474">
        <f t="shared" si="125"/>
        <v>52304.388898667559</v>
      </c>
      <c r="I167" s="475">
        <f t="shared" si="99"/>
        <v>12215.991666765345</v>
      </c>
      <c r="J167" s="100">
        <f t="shared" si="132"/>
        <v>0.2</v>
      </c>
      <c r="K167" s="474">
        <f t="shared" si="126"/>
        <v>1691.3316715662677</v>
      </c>
      <c r="L167" s="474">
        <f t="shared" si="101"/>
        <v>0</v>
      </c>
      <c r="M167" s="474">
        <f t="shared" si="127"/>
        <v>1691.3316715662677</v>
      </c>
      <c r="N167" s="579">
        <f t="shared" si="131"/>
        <v>0.5</v>
      </c>
      <c r="O167" s="475">
        <f t="shared" si="102"/>
        <v>751.91700000000026</v>
      </c>
      <c r="P167" s="466">
        <f t="shared" si="130"/>
        <v>2443.2486715662681</v>
      </c>
      <c r="Q167" s="467">
        <f t="shared" si="103"/>
        <v>66051.241315189865</v>
      </c>
      <c r="R167" s="467">
        <f t="shared" si="128"/>
        <v>49861.140227101292</v>
      </c>
      <c r="S167" s="938">
        <f t="shared" si="104"/>
        <v>0.8859721974430752</v>
      </c>
      <c r="T167" s="118" t="str">
        <f t="shared" si="105"/>
        <v>Yes</v>
      </c>
      <c r="U167" s="938">
        <f t="shared" si="106"/>
        <v>0.8859721974430752</v>
      </c>
      <c r="V167" s="1247">
        <f t="shared" si="97"/>
        <v>61744.285658728521</v>
      </c>
      <c r="W167" s="1244">
        <f t="shared" si="98"/>
        <v>0.4467626894601725</v>
      </c>
      <c r="X167" s="473">
        <f t="shared" si="107"/>
        <v>16190.101088088575</v>
      </c>
      <c r="Y167" s="474">
        <f t="shared" si="108"/>
        <v>10402.119481142747</v>
      </c>
      <c r="Z167" s="474">
        <f t="shared" si="109"/>
        <v>5243.2755347882812</v>
      </c>
      <c r="AA167" s="474">
        <f t="shared" si="110"/>
        <v>0</v>
      </c>
      <c r="AB167" s="474">
        <f t="shared" si="111"/>
        <v>29908.789554708914</v>
      </c>
      <c r="AC167" s="474">
        <f t="shared" si="112"/>
        <v>61744.285658728521</v>
      </c>
      <c r="AD167" s="1240">
        <f t="shared" si="113"/>
        <v>0</v>
      </c>
      <c r="AE167" s="100">
        <f t="shared" si="114"/>
        <v>0.26221213696720208</v>
      </c>
      <c r="AF167" s="100">
        <f t="shared" si="115"/>
        <v>0.16847096650590604</v>
      </c>
      <c r="AG167" s="100">
        <f t="shared" si="116"/>
        <v>8.4919203110856017E-2</v>
      </c>
      <c r="AH167" s="100">
        <f t="shared" si="129"/>
        <v>0</v>
      </c>
      <c r="AI167" s="100">
        <f t="shared" si="117"/>
        <v>0.48439769341603578</v>
      </c>
      <c r="AJ167" s="471">
        <f t="shared" si="118"/>
        <v>0.99999999999999989</v>
      </c>
      <c r="AK167" s="1250">
        <f t="shared" si="119"/>
        <v>9772.7933334122754</v>
      </c>
      <c r="AL167" s="1251">
        <f t="shared" si="120"/>
        <v>6048.6460376560326</v>
      </c>
      <c r="AM167" s="1251">
        <f t="shared" si="121"/>
        <v>368.66171702026412</v>
      </c>
      <c r="AN167" s="1251">
        <f t="shared" si="122"/>
        <v>16190.101088088571</v>
      </c>
      <c r="AO167" s="1277">
        <f t="shared" si="123"/>
        <v>0</v>
      </c>
    </row>
    <row r="168" spans="1:41">
      <c r="A168" s="89">
        <f>'Input data'!A148</f>
        <v>2048</v>
      </c>
      <c r="B168" s="152">
        <f>'Input data'!B148</f>
        <v>74.752759240528661</v>
      </c>
      <c r="C168" s="204">
        <f>'Input data'!C148</f>
        <v>8289.8997424694644</v>
      </c>
      <c r="D168" s="204">
        <f>'Input data'!D148</f>
        <v>8214385.6638518488</v>
      </c>
      <c r="E168" s="473">
        <f>'Input data'!J148*C168</f>
        <v>99736.162043357326</v>
      </c>
      <c r="F168" s="474">
        <f>'Input data'!L148</f>
        <v>107950.54770720917</v>
      </c>
      <c r="G168" s="474">
        <f t="shared" si="134"/>
        <v>15308.962370313993</v>
      </c>
      <c r="H168" s="474">
        <f t="shared" si="125"/>
        <v>49629.166307947846</v>
      </c>
      <c r="I168" s="475">
        <f t="shared" si="99"/>
        <v>8214.3856638518482</v>
      </c>
      <c r="J168" s="100">
        <f t="shared" si="132"/>
        <v>0.2</v>
      </c>
      <c r="K168" s="474">
        <f t="shared" si="126"/>
        <v>1137.3002712117359</v>
      </c>
      <c r="L168" s="474">
        <f t="shared" si="101"/>
        <v>0</v>
      </c>
      <c r="M168" s="474">
        <f t="shared" si="127"/>
        <v>1137.3002712117359</v>
      </c>
      <c r="N168" s="579">
        <f t="shared" si="131"/>
        <v>0.5</v>
      </c>
      <c r="O168" s="475">
        <f t="shared" si="102"/>
        <v>751.91700000000026</v>
      </c>
      <c r="P168" s="466">
        <f t="shared" si="130"/>
        <v>1889.2172712117363</v>
      </c>
      <c r="Q168" s="467">
        <f t="shared" si="103"/>
        <v>63048.911407050102</v>
      </c>
      <c r="R168" s="467">
        <f t="shared" si="128"/>
        <v>47739.949036736107</v>
      </c>
      <c r="S168" s="938">
        <f t="shared" si="104"/>
        <v>0.84529292435027437</v>
      </c>
      <c r="T168" s="118" t="str">
        <f t="shared" si="105"/>
        <v>Yes</v>
      </c>
      <c r="U168" s="938">
        <f t="shared" si="106"/>
        <v>0.84529292435027437</v>
      </c>
      <c r="V168" s="1247">
        <f t="shared" si="97"/>
        <v>60210.598670473075</v>
      </c>
      <c r="W168" s="1244">
        <f t="shared" si="98"/>
        <v>0.4422390627069317</v>
      </c>
      <c r="X168" s="473">
        <f t="shared" si="107"/>
        <v>15308.96237031399</v>
      </c>
      <c r="Y168" s="474">
        <f t="shared" si="108"/>
        <v>9629.5636002338579</v>
      </c>
      <c r="Z168" s="474">
        <f t="shared" si="109"/>
        <v>5258.9439907476335</v>
      </c>
      <c r="AA168" s="474">
        <f t="shared" si="110"/>
        <v>0</v>
      </c>
      <c r="AB168" s="474">
        <f t="shared" si="111"/>
        <v>30013.128709177592</v>
      </c>
      <c r="AC168" s="474">
        <f t="shared" si="112"/>
        <v>60210.598670473075</v>
      </c>
      <c r="AD168" s="1240">
        <f t="shared" si="113"/>
        <v>0</v>
      </c>
      <c r="AE168" s="100">
        <f t="shared" si="114"/>
        <v>0.25425693662503668</v>
      </c>
      <c r="AF168" s="100">
        <f t="shared" si="115"/>
        <v>0.1599313711018811</v>
      </c>
      <c r="AG168" s="100">
        <f t="shared" si="116"/>
        <v>8.7342496285900392E-2</v>
      </c>
      <c r="AH168" s="100">
        <f t="shared" si="129"/>
        <v>0</v>
      </c>
      <c r="AI168" s="100">
        <f t="shared" si="117"/>
        <v>0.49846919598718181</v>
      </c>
      <c r="AJ168" s="471">
        <f t="shared" si="118"/>
        <v>1</v>
      </c>
      <c r="AK168" s="1250">
        <f t="shared" si="119"/>
        <v>6571.5085310814784</v>
      </c>
      <c r="AL168" s="1251">
        <f t="shared" si="120"/>
        <v>8235.1217878662464</v>
      </c>
      <c r="AM168" s="1251">
        <f t="shared" si="121"/>
        <v>502.33205136626117</v>
      </c>
      <c r="AN168" s="1251">
        <f t="shared" si="122"/>
        <v>15308.962370313988</v>
      </c>
      <c r="AO168" s="1277">
        <f t="shared" si="123"/>
        <v>0</v>
      </c>
    </row>
    <row r="169" spans="1:41">
      <c r="A169" s="89">
        <f>'Input data'!A149</f>
        <v>2049</v>
      </c>
      <c r="B169" s="152">
        <f>'Input data'!B149</f>
        <v>75.134360114565098</v>
      </c>
      <c r="C169" s="204">
        <f>'Input data'!C149</f>
        <v>8319.7266636271434</v>
      </c>
      <c r="D169" s="204">
        <f>'Input data'!D149</f>
        <v>4212779.6609383523</v>
      </c>
      <c r="E169" s="473">
        <f>'Input data'!J149*C169</f>
        <v>100095.01109271272</v>
      </c>
      <c r="F169" s="474">
        <f>'Input data'!L149</f>
        <v>104307.79075365108</v>
      </c>
      <c r="G169" s="474">
        <f t="shared" si="134"/>
        <v>14475.779217222871</v>
      </c>
      <c r="H169" s="474">
        <f t="shared" si="125"/>
        <v>46912.943397785515</v>
      </c>
      <c r="I169" s="475">
        <f t="shared" si="99"/>
        <v>4212.7796609383522</v>
      </c>
      <c r="J169" s="100">
        <f t="shared" si="132"/>
        <v>0.2</v>
      </c>
      <c r="K169" s="474">
        <f t="shared" si="126"/>
        <v>583.26887085720409</v>
      </c>
      <c r="L169" s="474">
        <f t="shared" si="101"/>
        <v>0</v>
      </c>
      <c r="M169" s="474">
        <f t="shared" si="127"/>
        <v>583.26887085720409</v>
      </c>
      <c r="N169" s="579">
        <f t="shared" si="131"/>
        <v>0.5</v>
      </c>
      <c r="O169" s="475">
        <f t="shared" si="102"/>
        <v>751.91700000000026</v>
      </c>
      <c r="P169" s="466">
        <f t="shared" si="130"/>
        <v>1335.1858708572045</v>
      </c>
      <c r="Q169" s="467">
        <f t="shared" si="103"/>
        <v>60053.536744151184</v>
      </c>
      <c r="R169" s="467">
        <f t="shared" si="128"/>
        <v>45577.757526928312</v>
      </c>
      <c r="S169" s="938">
        <f t="shared" si="104"/>
        <v>0.80407716314226585</v>
      </c>
      <c r="T169" s="118" t="str">
        <f t="shared" si="105"/>
        <v>Yes</v>
      </c>
      <c r="U169" s="938">
        <f t="shared" si="106"/>
        <v>0.80407716314226585</v>
      </c>
      <c r="V169" s="1247">
        <f t="shared" si="97"/>
        <v>58730.033226722779</v>
      </c>
      <c r="W169" s="1244">
        <f t="shared" si="98"/>
        <v>0.43695449014514709</v>
      </c>
      <c r="X169" s="473">
        <f t="shared" si="107"/>
        <v>14475.779217222871</v>
      </c>
      <c r="Y169" s="474">
        <f t="shared" si="108"/>
        <v>8857.9783644971194</v>
      </c>
      <c r="Z169" s="474">
        <f t="shared" si="109"/>
        <v>5275.1601987700142</v>
      </c>
      <c r="AA169" s="474">
        <f t="shared" si="110"/>
        <v>0</v>
      </c>
      <c r="AB169" s="474">
        <f t="shared" si="111"/>
        <v>30121.11544623278</v>
      </c>
      <c r="AC169" s="474">
        <f t="shared" si="112"/>
        <v>58730.033226722779</v>
      </c>
      <c r="AD169" s="1240">
        <f t="shared" si="113"/>
        <v>0</v>
      </c>
      <c r="AE169" s="100">
        <f t="shared" si="114"/>
        <v>0.24648001068448638</v>
      </c>
      <c r="AF169" s="100">
        <f t="shared" si="115"/>
        <v>0.15082535932342445</v>
      </c>
      <c r="AG169" s="100">
        <f t="shared" si="116"/>
        <v>8.9820487218280023E-2</v>
      </c>
      <c r="AH169" s="100">
        <f t="shared" si="129"/>
        <v>0</v>
      </c>
      <c r="AI169" s="100">
        <f t="shared" si="117"/>
        <v>0.51287414277380927</v>
      </c>
      <c r="AJ169" s="471">
        <f t="shared" si="118"/>
        <v>1</v>
      </c>
      <c r="AK169" s="1250">
        <f t="shared" si="119"/>
        <v>3370.2237287506819</v>
      </c>
      <c r="AL169" s="1251">
        <f t="shared" si="120"/>
        <v>10466.577409536027</v>
      </c>
      <c r="AM169" s="1251">
        <f t="shared" si="121"/>
        <v>638.97807893616039</v>
      </c>
      <c r="AN169" s="1251">
        <f t="shared" si="122"/>
        <v>14475.779217222869</v>
      </c>
      <c r="AO169" s="1277">
        <f t="shared" si="123"/>
        <v>0</v>
      </c>
    </row>
    <row r="170" spans="1:41" ht="15" thickBot="1">
      <c r="A170" s="141">
        <f>'Input data'!A150</f>
        <v>2050</v>
      </c>
      <c r="B170" s="593">
        <f>'Input data'!B150</f>
        <v>75.517908999999989</v>
      </c>
      <c r="C170" s="207">
        <f>'Input data'!C150</f>
        <v>8341.54221182129</v>
      </c>
      <c r="D170" s="207">
        <f>'Input data'!D150</f>
        <v>211173.65802485455</v>
      </c>
      <c r="E170" s="598">
        <f>'Input data'!J150*C170</f>
        <v>100357.47494841044</v>
      </c>
      <c r="F170" s="595">
        <f>'Input data'!L150</f>
        <v>100568.64860643529</v>
      </c>
      <c r="G170" s="595">
        <f>G137*(1-$C$6)</f>
        <v>13687.941669523079</v>
      </c>
      <c r="H170" s="595">
        <f t="shared" si="125"/>
        <v>44096.068371873596</v>
      </c>
      <c r="I170" s="589">
        <f t="shared" si="99"/>
        <v>211.17365802485455</v>
      </c>
      <c r="J170" s="581">
        <f t="shared" si="132"/>
        <v>0.2</v>
      </c>
      <c r="K170" s="595">
        <f t="shared" si="126"/>
        <v>29.237470502672153</v>
      </c>
      <c r="L170" s="595">
        <f t="shared" si="101"/>
        <v>0</v>
      </c>
      <c r="M170" s="595">
        <f t="shared" si="127"/>
        <v>29.237470502672153</v>
      </c>
      <c r="N170" s="580">
        <f t="shared" si="131"/>
        <v>0.5</v>
      </c>
      <c r="O170" s="589">
        <f t="shared" si="102"/>
        <v>751.91700000000026</v>
      </c>
      <c r="P170" s="1388">
        <f t="shared" si="130"/>
        <v>781.15447050267244</v>
      </c>
      <c r="Q170" s="1238">
        <f t="shared" si="103"/>
        <v>57002.855570894004</v>
      </c>
      <c r="R170" s="1238">
        <f t="shared" si="128"/>
        <v>43314.913901370921</v>
      </c>
      <c r="S170" s="941">
        <f t="shared" si="104"/>
        <v>0.76213142536574363</v>
      </c>
      <c r="T170" s="951" t="str">
        <f t="shared" si="105"/>
        <v>Yes</v>
      </c>
      <c r="U170" s="941">
        <f t="shared" si="106"/>
        <v>0.76213142536574363</v>
      </c>
      <c r="V170" s="1248">
        <f t="shared" si="97"/>
        <v>57253.734705064388</v>
      </c>
      <c r="W170" s="1245">
        <f t="shared" si="98"/>
        <v>0.43069996963844281</v>
      </c>
      <c r="X170" s="598">
        <f t="shared" si="107"/>
        <v>13687.941669523081</v>
      </c>
      <c r="Y170" s="595">
        <f t="shared" si="108"/>
        <v>8078.6747816124816</v>
      </c>
      <c r="Z170" s="595">
        <f t="shared" si="109"/>
        <v>5287.0208083773005</v>
      </c>
      <c r="AA170" s="595">
        <f t="shared" si="110"/>
        <v>0</v>
      </c>
      <c r="AB170" s="595">
        <f t="shared" si="111"/>
        <v>30200.097445551524</v>
      </c>
      <c r="AC170" s="595">
        <f t="shared" si="112"/>
        <v>57253.734705064388</v>
      </c>
      <c r="AD170" s="1241">
        <f t="shared" si="113"/>
        <v>0</v>
      </c>
      <c r="AE170" s="581">
        <f t="shared" si="114"/>
        <v>0.23907508811494724</v>
      </c>
      <c r="AF170" s="581">
        <f t="shared" si="115"/>
        <v>0.14110301840096173</v>
      </c>
      <c r="AG170" s="581">
        <f t="shared" si="116"/>
        <v>9.2343684400899642E-2</v>
      </c>
      <c r="AH170" s="581">
        <f t="shared" si="129"/>
        <v>0</v>
      </c>
      <c r="AI170" s="581">
        <f>AB170/AC170</f>
        <v>0.52747820908319143</v>
      </c>
      <c r="AJ170" s="582">
        <f t="shared" si="118"/>
        <v>1</v>
      </c>
      <c r="AK170" s="1252">
        <f t="shared" si="119"/>
        <v>168.93892641988364</v>
      </c>
      <c r="AL170" s="1253">
        <f t="shared" si="120"/>
        <v>12740.720635893418</v>
      </c>
      <c r="AM170" s="1253">
        <f t="shared" si="121"/>
        <v>778.28210720977654</v>
      </c>
      <c r="AN170" s="1253">
        <f t="shared" si="122"/>
        <v>13687.941669523078</v>
      </c>
      <c r="AO170" s="1278">
        <f t="shared" si="123"/>
        <v>0</v>
      </c>
    </row>
    <row r="172" spans="1:41" ht="23.4">
      <c r="A172" s="610" t="s">
        <v>640</v>
      </c>
    </row>
    <row r="173" spans="1:41" ht="24" thickBot="1">
      <c r="A173" s="610"/>
    </row>
    <row r="174" spans="1:41"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950" t="s">
        <v>592</v>
      </c>
      <c r="Y174" s="944"/>
      <c r="Z174" s="944"/>
      <c r="AA174" s="944"/>
      <c r="AB174" s="944"/>
      <c r="AC174" s="944"/>
      <c r="AD174" s="944"/>
      <c r="AE174" s="944"/>
      <c r="AF174" s="944"/>
      <c r="AG174" s="944"/>
      <c r="AH174" s="944"/>
      <c r="AI174" s="944"/>
      <c r="AJ174" s="944"/>
      <c r="AK174" s="1586" t="s">
        <v>723</v>
      </c>
      <c r="AL174" s="1587"/>
      <c r="AM174" s="1587"/>
      <c r="AN174" s="1587"/>
      <c r="AO174" s="1588"/>
    </row>
    <row r="175" spans="1:41" ht="58.95"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2"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4436.7667702664276</v>
      </c>
      <c r="D179" s="474">
        <f>'Input data'!E119</f>
        <v>53169997.747000799</v>
      </c>
      <c r="E179" s="473">
        <f>'Input data'!J119*C179</f>
        <v>53378.943448604135</v>
      </c>
      <c r="F179" s="474">
        <f>'Input data'!L119</f>
        <v>106548.94119560494</v>
      </c>
      <c r="G179" s="474">
        <f t="shared" ref="G179:G189" si="163">$G$137*(1+((($G$150/$G$137)^(1/($A$150-$A$137)))-1))^(A179-$A$137)</f>
        <v>61517.098453473154</v>
      </c>
      <c r="H179" s="474">
        <f t="shared" si="135"/>
        <v>19009.623966069645</v>
      </c>
      <c r="I179" s="475">
        <f t="shared" si="138"/>
        <v>53169.997747000802</v>
      </c>
      <c r="J179" s="100">
        <f t="shared" si="139"/>
        <v>7.3782491286642105E-2</v>
      </c>
      <c r="K179" s="474">
        <f t="shared" ref="K179:K210" si="164">(I179)*J179-(I179)*$J$137</f>
        <v>650.52177304088855</v>
      </c>
      <c r="L179" s="474">
        <f t="shared" si="140"/>
        <v>0</v>
      </c>
      <c r="M179" s="475">
        <f t="shared" ref="M179:M210" si="165">L179+K179</f>
        <v>650.52177304088855</v>
      </c>
      <c r="N179" s="579">
        <f>($N$142-$N$137)/($A$102-$A$97)+N178</f>
        <v>0.1</v>
      </c>
      <c r="O179" s="475">
        <f t="shared" si="141"/>
        <v>150.38340000000005</v>
      </c>
      <c r="P179" s="1234">
        <f>O179+M179</f>
        <v>800.9051730408886</v>
      </c>
      <c r="Q179" s="467">
        <f t="shared" si="142"/>
        <v>79725.817246501916</v>
      </c>
      <c r="R179" s="467">
        <f t="shared" ref="R179:R210" si="166">Q179-G179</f>
        <v>18208.718793028762</v>
      </c>
      <c r="S179" s="518">
        <f t="shared" si="143"/>
        <v>0.59742175691691901</v>
      </c>
      <c r="T179" s="118" t="str">
        <f t="shared" si="144"/>
        <v>Yes</v>
      </c>
      <c r="U179" s="938">
        <f t="shared" si="145"/>
        <v>0.59742175691691901</v>
      </c>
      <c r="V179" s="1247">
        <f t="shared" si="136"/>
        <v>88340.222402576197</v>
      </c>
      <c r="W179" s="1244">
        <f t="shared" si="137"/>
        <v>0.17089535183273918</v>
      </c>
      <c r="X179" s="473">
        <f t="shared" si="146"/>
        <v>61517.098453473154</v>
      </c>
      <c r="Y179" s="474">
        <f t="shared" si="147"/>
        <v>8197.5014663891779</v>
      </c>
      <c r="Z179" s="116">
        <f t="shared" si="148"/>
        <v>2562.5510023172546</v>
      </c>
      <c r="AA179" s="116">
        <f t="shared" si="149"/>
        <v>0</v>
      </c>
      <c r="AB179" s="116">
        <f t="shared" si="150"/>
        <v>16063.071480396609</v>
      </c>
      <c r="AC179" s="116">
        <f t="shared" si="151"/>
        <v>88340.222402576197</v>
      </c>
      <c r="AD179" s="1240">
        <f t="shared" si="152"/>
        <v>0</v>
      </c>
      <c r="AE179" s="579">
        <f t="shared" si="153"/>
        <v>0.69636567330714783</v>
      </c>
      <c r="AF179" s="100">
        <f t="shared" si="154"/>
        <v>9.279466638687249E-2</v>
      </c>
      <c r="AG179" s="100">
        <f t="shared" si="155"/>
        <v>2.9007749048213002E-2</v>
      </c>
      <c r="AH179" s="100">
        <f t="shared" ref="AH179:AH210" si="167">AA179/AC179</f>
        <v>0</v>
      </c>
      <c r="AI179" s="100">
        <f t="shared" si="156"/>
        <v>0.18183191125776671</v>
      </c>
      <c r="AJ179" s="471">
        <f t="shared" si="157"/>
        <v>1</v>
      </c>
      <c r="AK179" s="1250">
        <f t="shared" si="158"/>
        <v>49246.982851521934</v>
      </c>
      <c r="AL179" s="1251">
        <f t="shared" si="159"/>
        <v>11469.05065292624</v>
      </c>
      <c r="AM179" s="1251">
        <f t="shared" si="160"/>
        <v>801.06494902497252</v>
      </c>
      <c r="AN179" s="1251">
        <f t="shared" si="161"/>
        <v>61517.098453473147</v>
      </c>
      <c r="AO179" s="1022">
        <f t="shared" si="162"/>
        <v>0</v>
      </c>
    </row>
    <row r="180" spans="1:41">
      <c r="A180" s="89">
        <f>'Input data'!A120</f>
        <v>2020</v>
      </c>
      <c r="B180" s="152">
        <f>'Input data'!B120</f>
        <v>59.308690000000006</v>
      </c>
      <c r="C180" s="204">
        <f>'Input data'!C120</f>
        <v>4197.6296598339768</v>
      </c>
      <c r="D180" s="474">
        <f>'Input data'!E120</f>
        <v>50963260.465782054</v>
      </c>
      <c r="E180" s="473">
        <f>'Input data'!J120*C180</f>
        <v>50501.873961927049</v>
      </c>
      <c r="F180" s="474">
        <f>'Input data'!L120</f>
        <v>101465.1344277091</v>
      </c>
      <c r="G180" s="474">
        <f t="shared" si="163"/>
        <v>58322.977791126912</v>
      </c>
      <c r="H180" s="474">
        <f t="shared" si="135"/>
        <v>18481.944081089277</v>
      </c>
      <c r="I180" s="475">
        <f t="shared" si="138"/>
        <v>50963.260465782056</v>
      </c>
      <c r="J180" s="100">
        <f t="shared" si="139"/>
        <v>8.0783733850016193E-2</v>
      </c>
      <c r="K180" s="474">
        <f t="shared" si="164"/>
        <v>980.32903649147011</v>
      </c>
      <c r="L180" s="474">
        <f t="shared" si="140"/>
        <v>0</v>
      </c>
      <c r="M180" s="475">
        <f t="shared" si="165"/>
        <v>980.32903649147011</v>
      </c>
      <c r="N180" s="579">
        <f>($N$142-$N$137)/($A$102-$A$97)+N179</f>
        <v>0.15000000000000002</v>
      </c>
      <c r="O180" s="475">
        <f t="shared" si="141"/>
        <v>225.57510000000011</v>
      </c>
      <c r="P180" s="1234">
        <f t="shared" ref="P180:P210" si="168">O180+M180</f>
        <v>1205.9041364914701</v>
      </c>
      <c r="Q180" s="467">
        <f t="shared" si="142"/>
        <v>75599.017735724716</v>
      </c>
      <c r="R180" s="467">
        <f t="shared" si="166"/>
        <v>17276.039944597804</v>
      </c>
      <c r="S180" s="518">
        <f t="shared" si="143"/>
        <v>0.60084806123290502</v>
      </c>
      <c r="T180" s="118" t="str">
        <f t="shared" si="144"/>
        <v>Yes</v>
      </c>
      <c r="U180" s="938">
        <f t="shared" si="145"/>
        <v>0.60084806123290502</v>
      </c>
      <c r="V180" s="1247">
        <f t="shared" si="136"/>
        <v>84189.094483111301</v>
      </c>
      <c r="W180" s="1244">
        <f t="shared" si="137"/>
        <v>0.17026577692957634</v>
      </c>
      <c r="X180" s="473">
        <f t="shared" si="146"/>
        <v>58322.977791126912</v>
      </c>
      <c r="Y180" s="474">
        <f t="shared" si="147"/>
        <v>8161.0986638931799</v>
      </c>
      <c r="Z180" s="116">
        <f t="shared" si="148"/>
        <v>2507.7293795159117</v>
      </c>
      <c r="AA180" s="116">
        <f t="shared" si="149"/>
        <v>0</v>
      </c>
      <c r="AB180" s="116">
        <f t="shared" si="150"/>
        <v>15197.288648575301</v>
      </c>
      <c r="AC180" s="116">
        <f t="shared" si="151"/>
        <v>84189.094483111301</v>
      </c>
      <c r="AD180" s="1240">
        <f t="shared" si="152"/>
        <v>0</v>
      </c>
      <c r="AE180" s="579">
        <f t="shared" si="153"/>
        <v>0.69276167120228094</v>
      </c>
      <c r="AF180" s="100">
        <f t="shared" si="154"/>
        <v>9.6937717574932844E-2</v>
      </c>
      <c r="AG180" s="100">
        <f t="shared" si="155"/>
        <v>2.9786867229210704E-2</v>
      </c>
      <c r="AH180" s="100">
        <f t="shared" si="167"/>
        <v>0</v>
      </c>
      <c r="AI180" s="100">
        <f t="shared" si="156"/>
        <v>0.18051374399357559</v>
      </c>
      <c r="AJ180" s="471">
        <f t="shared" si="157"/>
        <v>1.0000000000000002</v>
      </c>
      <c r="AK180" s="1250">
        <f t="shared" si="158"/>
        <v>46846.257996185261</v>
      </c>
      <c r="AL180" s="1251">
        <f t="shared" si="159"/>
        <v>10758.529969538889</v>
      </c>
      <c r="AM180" s="1251">
        <f t="shared" si="160"/>
        <v>718.18982540275408</v>
      </c>
      <c r="AN180" s="1251">
        <f t="shared" si="161"/>
        <v>58322.977791126905</v>
      </c>
      <c r="AO180" s="1022">
        <f t="shared" si="162"/>
        <v>0</v>
      </c>
    </row>
    <row r="181" spans="1:41">
      <c r="A181" s="89">
        <f>'Input data'!A121</f>
        <v>2021</v>
      </c>
      <c r="B181" s="152">
        <f>'Input data'!B121</f>
        <v>59.991580449204264</v>
      </c>
      <c r="C181" s="204">
        <f>'Input data'!C121</f>
        <v>4326.0661578199733</v>
      </c>
      <c r="D181" s="474">
        <f>'Input data'!E121</f>
        <v>50546075.397081107</v>
      </c>
      <c r="E181" s="473">
        <f>'Input data'!J121*C181</f>
        <v>52047.099329344681</v>
      </c>
      <c r="F181" s="474">
        <f>'Input data'!L121</f>
        <v>102593.17472642579</v>
      </c>
      <c r="G181" s="474">
        <f t="shared" si="163"/>
        <v>55294.7038130703</v>
      </c>
      <c r="H181" s="474">
        <f t="shared" si="135"/>
        <v>22005.371105425438</v>
      </c>
      <c r="I181" s="475">
        <f t="shared" si="138"/>
        <v>50546.075397081106</v>
      </c>
      <c r="J181" s="100">
        <f t="shared" si="139"/>
        <v>8.8449326404511766E-2</v>
      </c>
      <c r="K181" s="474">
        <f t="shared" si="164"/>
        <v>1359.769685712381</v>
      </c>
      <c r="L181" s="474">
        <f t="shared" si="140"/>
        <v>0</v>
      </c>
      <c r="M181" s="475">
        <f t="shared" si="165"/>
        <v>1359.769685712381</v>
      </c>
      <c r="N181" s="579">
        <f>($N$142-$N$137)/($A$102-$A$97)+N180</f>
        <v>0.2</v>
      </c>
      <c r="O181" s="475">
        <f t="shared" si="141"/>
        <v>300.7668000000001</v>
      </c>
      <c r="P181" s="1234">
        <f t="shared" si="168"/>
        <v>1660.5364857123811</v>
      </c>
      <c r="Q181" s="467">
        <f t="shared" si="142"/>
        <v>75639.53843278336</v>
      </c>
      <c r="R181" s="467">
        <f t="shared" si="166"/>
        <v>20344.83461971306</v>
      </c>
      <c r="S181" s="518">
        <f t="shared" si="143"/>
        <v>0.68815710952802278</v>
      </c>
      <c r="T181" s="118" t="str">
        <f t="shared" si="144"/>
        <v>Yes</v>
      </c>
      <c r="U181" s="938">
        <f t="shared" si="145"/>
        <v>0.68815710952802278</v>
      </c>
      <c r="V181" s="1247">
        <f t="shared" si="136"/>
        <v>82248.340106712727</v>
      </c>
      <c r="W181" s="1244">
        <f t="shared" si="137"/>
        <v>0.19830592701672844</v>
      </c>
      <c r="X181" s="473">
        <f t="shared" si="146"/>
        <v>55294.7038130703</v>
      </c>
      <c r="Y181" s="474">
        <f t="shared" si="147"/>
        <v>8638.6012907272125</v>
      </c>
      <c r="Z181" s="116">
        <f t="shared" si="148"/>
        <v>2652.7490365483027</v>
      </c>
      <c r="AA181" s="116">
        <f t="shared" si="149"/>
        <v>0</v>
      </c>
      <c r="AB181" s="116">
        <f t="shared" si="150"/>
        <v>15662.285966366921</v>
      </c>
      <c r="AC181" s="116">
        <f t="shared" si="151"/>
        <v>82248.340106712727</v>
      </c>
      <c r="AD181" s="1240">
        <f t="shared" si="152"/>
        <v>0</v>
      </c>
      <c r="AE181" s="579">
        <f t="shared" si="153"/>
        <v>0.67228960172726215</v>
      </c>
      <c r="AF181" s="100">
        <f t="shared" si="154"/>
        <v>0.1050307067537059</v>
      </c>
      <c r="AG181" s="100">
        <f t="shared" si="155"/>
        <v>3.2252918820082029E-2</v>
      </c>
      <c r="AH181" s="100">
        <f t="shared" si="167"/>
        <v>0</v>
      </c>
      <c r="AI181" s="100">
        <f t="shared" si="156"/>
        <v>0.19042677269895003</v>
      </c>
      <c r="AJ181" s="471">
        <f t="shared" si="157"/>
        <v>1.0000000000000002</v>
      </c>
      <c r="AK181" s="1250">
        <f t="shared" si="158"/>
        <v>46075.309075817619</v>
      </c>
      <c r="AL181" s="1251">
        <f t="shared" si="159"/>
        <v>8662.4267471945077</v>
      </c>
      <c r="AM181" s="1251">
        <f t="shared" si="160"/>
        <v>556.96799005817104</v>
      </c>
      <c r="AN181" s="1251">
        <f t="shared" si="161"/>
        <v>55294.703813070293</v>
      </c>
      <c r="AO181" s="1022">
        <f t="shared" si="162"/>
        <v>0</v>
      </c>
    </row>
    <row r="182" spans="1:41">
      <c r="A182" s="89">
        <f>'Input data'!A122</f>
        <v>2022</v>
      </c>
      <c r="B182" s="152">
        <f>'Input data'!B122</f>
        <v>60.682333816399378</v>
      </c>
      <c r="C182" s="204">
        <f>'Input data'!C122</f>
        <v>4414.4786843532656</v>
      </c>
      <c r="D182" s="474">
        <f>'Input data'!E122</f>
        <v>50359792.84713313</v>
      </c>
      <c r="E182" s="473">
        <f>'Input data'!J122*C182</f>
        <v>53110.794470048553</v>
      </c>
      <c r="F182" s="474">
        <f>'Input data'!L122</f>
        <v>103470.58731718169</v>
      </c>
      <c r="G182" s="474">
        <f t="shared" si="163"/>
        <v>52423.665347216396</v>
      </c>
      <c r="H182" s="474">
        <f t="shared" si="135"/>
        <v>25311.948135988576</v>
      </c>
      <c r="I182" s="475">
        <f t="shared" si="138"/>
        <v>50359.792847133132</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75582.227712946144</v>
      </c>
      <c r="R182" s="467">
        <f t="shared" si="166"/>
        <v>23158.562365729747</v>
      </c>
      <c r="S182" s="518">
        <f t="shared" si="143"/>
        <v>0.76940295704768236</v>
      </c>
      <c r="T182" s="118" t="str">
        <f t="shared" si="144"/>
        <v>Yes</v>
      </c>
      <c r="U182" s="938">
        <f t="shared" si="145"/>
        <v>0.76940295704768236</v>
      </c>
      <c r="V182" s="1247">
        <f t="shared" si="136"/>
        <v>80312.024951451953</v>
      </c>
      <c r="W182" s="1244">
        <f>(1-V182/F182)</f>
        <v>0.22381783042111114</v>
      </c>
      <c r="X182" s="473">
        <f t="shared" si="146"/>
        <v>52423.665347216396</v>
      </c>
      <c r="Y182" s="474">
        <f t="shared" si="147"/>
        <v>9129.9723352621659</v>
      </c>
      <c r="Z182" s="116">
        <f t="shared" si="148"/>
        <v>2776.0085848679064</v>
      </c>
      <c r="AA182" s="116">
        <f t="shared" si="149"/>
        <v>0</v>
      </c>
      <c r="AB182" s="116">
        <f t="shared" si="150"/>
        <v>15982.378684105484</v>
      </c>
      <c r="AC182" s="116">
        <f t="shared" si="151"/>
        <v>80312.024951451953</v>
      </c>
      <c r="AD182" s="1240">
        <f t="shared" si="152"/>
        <v>0</v>
      </c>
      <c r="AE182" s="579">
        <f t="shared" si="153"/>
        <v>0.65274988868611061</v>
      </c>
      <c r="AF182" s="100">
        <f t="shared" si="154"/>
        <v>0.11368126181329843</v>
      </c>
      <c r="AG182" s="100">
        <f t="shared" si="155"/>
        <v>3.4565291891793089E-2</v>
      </c>
      <c r="AH182" s="100">
        <f t="shared" si="167"/>
        <v>0</v>
      </c>
      <c r="AI182" s="100">
        <f t="shared" si="156"/>
        <v>0.19900355760879793</v>
      </c>
      <c r="AJ182" s="471">
        <f t="shared" si="157"/>
        <v>1</v>
      </c>
      <c r="AK182" s="1250">
        <f t="shared" si="158"/>
        <v>45482.834211012232</v>
      </c>
      <c r="AL182" s="1251">
        <f t="shared" si="159"/>
        <v>6536.4768747678199</v>
      </c>
      <c r="AM182" s="1251">
        <f t="shared" si="160"/>
        <v>404.35426143634237</v>
      </c>
      <c r="AN182" s="1251">
        <f t="shared" si="161"/>
        <v>52423.665347216389</v>
      </c>
      <c r="AO182" s="1022">
        <f t="shared" si="162"/>
        <v>0</v>
      </c>
    </row>
    <row r="183" spans="1:41">
      <c r="A183" s="89">
        <f>'Input data'!A123</f>
        <v>2023</v>
      </c>
      <c r="B183" s="152">
        <f>'Input data'!B123</f>
        <v>61.381040636574369</v>
      </c>
      <c r="C183" s="204">
        <f>'Input data'!C123</f>
        <v>4492.6346436826334</v>
      </c>
      <c r="D183" s="474">
        <f>'Input data'!E123</f>
        <v>48665382.683029473</v>
      </c>
      <c r="E183" s="473">
        <f>'Input data'!J123*C183</f>
        <v>54051.092382747534</v>
      </c>
      <c r="F183" s="474">
        <f>'Input data'!L123</f>
        <v>102716.47506577701</v>
      </c>
      <c r="G183" s="474">
        <f t="shared" si="163"/>
        <v>49701.698334937471</v>
      </c>
      <c r="H183" s="474">
        <f t="shared" si="135"/>
        <v>26983.341734999929</v>
      </c>
      <c r="I183" s="475">
        <f t="shared" si="138"/>
        <v>48665.382683029471</v>
      </c>
      <c r="J183" s="100">
        <f t="shared" si="139"/>
        <v>0.10603170487993842</v>
      </c>
      <c r="K183" s="474">
        <f t="shared" si="164"/>
        <v>2164.8292425074233</v>
      </c>
      <c r="L183" s="474">
        <f t="shared" si="140"/>
        <v>0</v>
      </c>
      <c r="M183" s="475">
        <f t="shared" si="165"/>
        <v>2164.8292425074233</v>
      </c>
      <c r="N183" s="579">
        <f>($N$147-$N$142)/($A$107-$A$102)+N182</f>
        <v>0.3</v>
      </c>
      <c r="O183" s="475">
        <f t="shared" si="141"/>
        <v>451.15020000000015</v>
      </c>
      <c r="P183" s="1234">
        <f t="shared" si="168"/>
        <v>2615.9794425074233</v>
      </c>
      <c r="Q183" s="467">
        <f t="shared" si="142"/>
        <v>74069.060627429979</v>
      </c>
      <c r="R183" s="467">
        <f t="shared" si="166"/>
        <v>24367.362292492508</v>
      </c>
      <c r="S183" s="518">
        <f t="shared" si="143"/>
        <v>0.79726346228119105</v>
      </c>
      <c r="T183" s="118" t="str">
        <f t="shared" si="144"/>
        <v>Yes</v>
      </c>
      <c r="U183" s="938">
        <f t="shared" si="145"/>
        <v>0.79726346228119105</v>
      </c>
      <c r="V183" s="1247">
        <f t="shared" si="136"/>
        <v>78349.11277328452</v>
      </c>
      <c r="W183" s="1244">
        <f t="shared" si="137"/>
        <v>0.23722934686853547</v>
      </c>
      <c r="X183" s="473">
        <f t="shared" si="146"/>
        <v>49701.698334937471</v>
      </c>
      <c r="Y183" s="474">
        <f t="shared" si="147"/>
        <v>9488.3845026864292</v>
      </c>
      <c r="Z183" s="116">
        <f t="shared" si="148"/>
        <v>2893.6918745285916</v>
      </c>
      <c r="AA183" s="116">
        <f t="shared" si="149"/>
        <v>0</v>
      </c>
      <c r="AB183" s="116">
        <f t="shared" si="150"/>
        <v>16265.338061132017</v>
      </c>
      <c r="AC183" s="116">
        <f t="shared" si="151"/>
        <v>78349.11277328452</v>
      </c>
      <c r="AD183" s="1240">
        <f t="shared" si="152"/>
        <v>0</v>
      </c>
      <c r="AE183" s="579">
        <f t="shared" si="153"/>
        <v>0.63436198031695845</v>
      </c>
      <c r="AF183" s="100">
        <f t="shared" si="154"/>
        <v>0.1211039176683795</v>
      </c>
      <c r="AG183" s="100">
        <f t="shared" si="155"/>
        <v>3.6933307501540495E-2</v>
      </c>
      <c r="AH183" s="100">
        <f t="shared" si="167"/>
        <v>0</v>
      </c>
      <c r="AI183" s="100">
        <f t="shared" si="156"/>
        <v>0.20760079451312144</v>
      </c>
      <c r="AJ183" s="471">
        <f t="shared" si="157"/>
        <v>0.99999999999999978</v>
      </c>
      <c r="AK183" s="1250">
        <f t="shared" si="158"/>
        <v>43505.309188513223</v>
      </c>
      <c r="AL183" s="1251">
        <f t="shared" si="159"/>
        <v>5848.4892804827086</v>
      </c>
      <c r="AM183" s="1251">
        <f t="shared" si="160"/>
        <v>347.89986594153726</v>
      </c>
      <c r="AN183" s="1251">
        <f t="shared" si="161"/>
        <v>49701.698334937471</v>
      </c>
      <c r="AO183" s="1022">
        <f t="shared" si="162"/>
        <v>0</v>
      </c>
    </row>
    <row r="184" spans="1:41">
      <c r="A184" s="89">
        <f>'Input data'!A124</f>
        <v>2024</v>
      </c>
      <c r="B184" s="152">
        <f>'Input data'!B124</f>
        <v>62.087792487153699</v>
      </c>
      <c r="C184" s="204">
        <f>'Input data'!C124</f>
        <v>4579.7873251148294</v>
      </c>
      <c r="D184" s="474">
        <f>'Input data'!E124</f>
        <v>48951332.662830688</v>
      </c>
      <c r="E184" s="473">
        <f>'Input data'!J124*C184</f>
        <v>55099.630269557405</v>
      </c>
      <c r="F184" s="474">
        <f>'Input data'!L124</f>
        <v>104050.96293238809</v>
      </c>
      <c r="G184" s="474">
        <f t="shared" si="163"/>
        <v>47121.062615822855</v>
      </c>
      <c r="H184" s="474">
        <f t="shared" si="135"/>
        <v>30433.986364075754</v>
      </c>
      <c r="I184" s="475">
        <f t="shared" si="138"/>
        <v>48951.33266283069</v>
      </c>
      <c r="J184" s="100">
        <f t="shared" si="139"/>
        <v>0.11609308492183117</v>
      </c>
      <c r="K184" s="474">
        <f t="shared" si="164"/>
        <v>2670.067393245889</v>
      </c>
      <c r="L184" s="474">
        <f t="shared" si="140"/>
        <v>0</v>
      </c>
      <c r="M184" s="475">
        <f t="shared" si="165"/>
        <v>2670.067393245889</v>
      </c>
      <c r="N184" s="579">
        <f>($N$147-$N$142)/($A$107-$A$102)+N183</f>
        <v>0.35</v>
      </c>
      <c r="O184" s="475">
        <f t="shared" si="141"/>
        <v>526.34190000000012</v>
      </c>
      <c r="P184" s="1234">
        <f t="shared" si="168"/>
        <v>3196.4092932458889</v>
      </c>
      <c r="Q184" s="467">
        <f t="shared" si="142"/>
        <v>74358.639686652721</v>
      </c>
      <c r="R184" s="467">
        <f t="shared" si="166"/>
        <v>27237.577070829866</v>
      </c>
      <c r="S184" s="518">
        <f t="shared" si="143"/>
        <v>0.87608188714990654</v>
      </c>
      <c r="T184" s="118" t="str">
        <f t="shared" si="144"/>
        <v>Yes</v>
      </c>
      <c r="U184" s="938">
        <f t="shared" si="145"/>
        <v>0.87608188714990654</v>
      </c>
      <c r="V184" s="1247">
        <f t="shared" si="136"/>
        <v>76813.385861558243</v>
      </c>
      <c r="W184" s="1244">
        <f t="shared" si="137"/>
        <v>0.26177150410927696</v>
      </c>
      <c r="X184" s="473">
        <f t="shared" si="146"/>
        <v>47121.062615822855</v>
      </c>
      <c r="Y184" s="474">
        <f t="shared" si="147"/>
        <v>10095.187192992911</v>
      </c>
      <c r="Z184" s="116">
        <f t="shared" si="148"/>
        <v>3016.266474169538</v>
      </c>
      <c r="AA184" s="116">
        <f t="shared" si="149"/>
        <v>0</v>
      </c>
      <c r="AB184" s="116">
        <f t="shared" si="150"/>
        <v>16580.869578572932</v>
      </c>
      <c r="AC184" s="116">
        <f t="shared" si="151"/>
        <v>76813.385861558243</v>
      </c>
      <c r="AD184" s="1240">
        <f t="shared" si="152"/>
        <v>0</v>
      </c>
      <c r="AE184" s="579">
        <f t="shared" si="153"/>
        <v>0.61344858174524108</v>
      </c>
      <c r="AF184" s="100">
        <f t="shared" si="154"/>
        <v>0.13142484320620362</v>
      </c>
      <c r="AG184" s="100">
        <f t="shared" si="155"/>
        <v>3.9267458924487381E-2</v>
      </c>
      <c r="AH184" s="100">
        <f t="shared" si="167"/>
        <v>0</v>
      </c>
      <c r="AI184" s="100">
        <f t="shared" si="156"/>
        <v>0.21585911612406786</v>
      </c>
      <c r="AJ184" s="471">
        <f t="shared" si="157"/>
        <v>0.99999999999999989</v>
      </c>
      <c r="AK184" s="1250">
        <f t="shared" si="158"/>
        <v>43268.421442967876</v>
      </c>
      <c r="AL184" s="1251">
        <f t="shared" si="159"/>
        <v>3644.1032439404253</v>
      </c>
      <c r="AM184" s="1251">
        <f t="shared" si="160"/>
        <v>208.53792891454634</v>
      </c>
      <c r="AN184" s="1251">
        <f t="shared" si="161"/>
        <v>47121.062615822848</v>
      </c>
      <c r="AO184" s="1022">
        <f t="shared" si="162"/>
        <v>0</v>
      </c>
    </row>
    <row r="185" spans="1:41">
      <c r="A185" s="89">
        <f>'Input data'!A125</f>
        <v>2025</v>
      </c>
      <c r="B185" s="152">
        <f>'Input data'!B125</f>
        <v>62.802682000000026</v>
      </c>
      <c r="C185" s="204">
        <f>'Input data'!C125</f>
        <v>4678.6267528880244</v>
      </c>
      <c r="D185" s="474">
        <f>'Input data'!E125</f>
        <v>48538822.712079689</v>
      </c>
      <c r="E185" s="473">
        <f>'Input data'!J125*C185</f>
        <v>56288.771934824821</v>
      </c>
      <c r="F185" s="474">
        <f>'Input data'!L125</f>
        <v>104827.5946469045</v>
      </c>
      <c r="G185" s="474">
        <f t="shared" si="163"/>
        <v>44674.419917829786</v>
      </c>
      <c r="H185" s="474">
        <f t="shared" si="135"/>
        <v>33175.846119843845</v>
      </c>
      <c r="I185" s="475">
        <f t="shared" si="138"/>
        <v>48538.822712079687</v>
      </c>
      <c r="J185" s="100">
        <f t="shared" si="139"/>
        <v>0.12710919231119061</v>
      </c>
      <c r="K185" s="474">
        <f t="shared" si="164"/>
        <v>3182.2757786683292</v>
      </c>
      <c r="L185" s="474">
        <f t="shared" si="140"/>
        <v>0</v>
      </c>
      <c r="M185" s="475">
        <f t="shared" si="165"/>
        <v>3182.2757786683292</v>
      </c>
      <c r="N185" s="579">
        <f>($N$147-$N$142)/($A$107-$A$102)+N184</f>
        <v>0.39999999999999997</v>
      </c>
      <c r="O185" s="475">
        <f t="shared" si="141"/>
        <v>601.53360000000009</v>
      </c>
      <c r="P185" s="1234">
        <f t="shared" si="168"/>
        <v>3783.8093786683294</v>
      </c>
      <c r="Q185" s="467">
        <f t="shared" si="142"/>
        <v>74066.4566590053</v>
      </c>
      <c r="R185" s="467">
        <f t="shared" si="166"/>
        <v>29392.036741175514</v>
      </c>
      <c r="S185" s="518">
        <f t="shared" si="143"/>
        <v>0.9272706802928804</v>
      </c>
      <c r="T185" s="118" t="str">
        <f t="shared" si="144"/>
        <v>Yes</v>
      </c>
      <c r="U185" s="938">
        <f t="shared" si="145"/>
        <v>0.9272706802928804</v>
      </c>
      <c r="V185" s="1247">
        <f t="shared" si="136"/>
        <v>75435.557905728987</v>
      </c>
      <c r="W185" s="1244">
        <f t="shared" si="137"/>
        <v>0.28038453844312683</v>
      </c>
      <c r="X185" s="473">
        <f t="shared" si="146"/>
        <v>44674.419917829786</v>
      </c>
      <c r="Y185" s="474">
        <f t="shared" si="147"/>
        <v>10677.230777983976</v>
      </c>
      <c r="Z185" s="116">
        <f t="shared" si="148"/>
        <v>3145.1948878286516</v>
      </c>
      <c r="AA185" s="116">
        <f t="shared" si="149"/>
        <v>0</v>
      </c>
      <c r="AB185" s="116">
        <f t="shared" si="150"/>
        <v>16938.71232208658</v>
      </c>
      <c r="AC185" s="116">
        <f t="shared" si="151"/>
        <v>75435.557905728987</v>
      </c>
      <c r="AD185" s="1240">
        <f t="shared" si="152"/>
        <v>0</v>
      </c>
      <c r="AE185" s="579">
        <f t="shared" si="153"/>
        <v>0.59221965288119072</v>
      </c>
      <c r="AF185" s="100">
        <f t="shared" si="154"/>
        <v>0.14154108585406364</v>
      </c>
      <c r="AG185" s="100">
        <f t="shared" si="155"/>
        <v>4.1693797661829027E-2</v>
      </c>
      <c r="AH185" s="100">
        <f t="shared" si="167"/>
        <v>0</v>
      </c>
      <c r="AI185" s="100">
        <f t="shared" si="156"/>
        <v>0.22454546360291666</v>
      </c>
      <c r="AJ185" s="471">
        <f t="shared" si="157"/>
        <v>1</v>
      </c>
      <c r="AK185" s="1250">
        <f t="shared" si="158"/>
        <v>42369.092161411165</v>
      </c>
      <c r="AL185" s="1251">
        <f t="shared" si="159"/>
        <v>2184.9348721968845</v>
      </c>
      <c r="AM185" s="1251">
        <f t="shared" si="160"/>
        <v>120.39288422174172</v>
      </c>
      <c r="AN185" s="1251">
        <f t="shared" si="161"/>
        <v>44674.419917829793</v>
      </c>
      <c r="AO185" s="1022">
        <f t="shared" si="162"/>
        <v>0</v>
      </c>
    </row>
    <row r="186" spans="1:41">
      <c r="A186" s="89">
        <f>'Input data'!A126</f>
        <v>2026</v>
      </c>
      <c r="B186" s="152">
        <f>'Input data'!B126</f>
        <v>63.421065342005143</v>
      </c>
      <c r="C186" s="204">
        <f>'Input data'!C126</f>
        <v>4782.707139404285</v>
      </c>
      <c r="D186" s="474">
        <f>'Input data'!E126</f>
        <v>47372560.213695109</v>
      </c>
      <c r="E186" s="473">
        <f>'Input data'!J126*C186</f>
        <v>57540.967813858311</v>
      </c>
      <c r="F186" s="474">
        <f>'Input data'!L126</f>
        <v>104913.52802755342</v>
      </c>
      <c r="G186" s="474">
        <f t="shared" si="163"/>
        <v>42354.812990240433</v>
      </c>
      <c r="H186" s="474">
        <f t="shared" si="135"/>
        <v>35119.49027913039</v>
      </c>
      <c r="I186" s="475">
        <f t="shared" si="138"/>
        <v>47372.560213695106</v>
      </c>
      <c r="J186" s="100">
        <f t="shared" si="139"/>
        <v>0.13917062141024203</v>
      </c>
      <c r="K186" s="474">
        <f t="shared" si="164"/>
        <v>3677.1946901177807</v>
      </c>
      <c r="L186" s="474">
        <f t="shared" si="140"/>
        <v>0</v>
      </c>
      <c r="M186" s="475">
        <f t="shared" si="165"/>
        <v>3677.1946901177807</v>
      </c>
      <c r="N186" s="579">
        <f>($N$147-$N$142)/($A$107-$A$102)+N185</f>
        <v>0.44999999999999996</v>
      </c>
      <c r="O186" s="475">
        <f t="shared" si="141"/>
        <v>676.72530000000006</v>
      </c>
      <c r="P186" s="1234">
        <f t="shared" si="168"/>
        <v>4353.9199901177808</v>
      </c>
      <c r="Q186" s="467">
        <f t="shared" si="142"/>
        <v>73120.383279253045</v>
      </c>
      <c r="R186" s="467">
        <f t="shared" si="166"/>
        <v>30765.570289012612</v>
      </c>
      <c r="S186" s="518">
        <f t="shared" si="143"/>
        <v>0.9512959885494493</v>
      </c>
      <c r="T186" s="118" t="str">
        <f t="shared" si="144"/>
        <v>Yes</v>
      </c>
      <c r="U186" s="938">
        <f t="shared" si="145"/>
        <v>0.9512959885494493</v>
      </c>
      <c r="V186" s="1247">
        <f t="shared" si="136"/>
        <v>74147.957738540819</v>
      </c>
      <c r="W186" s="1244">
        <f t="shared" si="137"/>
        <v>0.29324693266375179</v>
      </c>
      <c r="X186" s="473">
        <f t="shared" si="146"/>
        <v>42354.812990240433</v>
      </c>
      <c r="Y186" s="474">
        <f t="shared" si="147"/>
        <v>11200.642388468463</v>
      </c>
      <c r="Z186" s="116">
        <f t="shared" si="148"/>
        <v>3276.9726896886114</v>
      </c>
      <c r="AA186" s="116">
        <f t="shared" si="149"/>
        <v>0</v>
      </c>
      <c r="AB186" s="116">
        <f t="shared" si="150"/>
        <v>17315.529670143307</v>
      </c>
      <c r="AC186" s="116">
        <f t="shared" si="151"/>
        <v>74147.957738540819</v>
      </c>
      <c r="AD186" s="1240">
        <f t="shared" si="152"/>
        <v>0</v>
      </c>
      <c r="AE186" s="579">
        <f t="shared" si="153"/>
        <v>0.57122022348331158</v>
      </c>
      <c r="AF186" s="100">
        <f t="shared" si="154"/>
        <v>0.15105800254086518</v>
      </c>
      <c r="AG186" s="100">
        <f t="shared" si="155"/>
        <v>4.4195049865618861E-2</v>
      </c>
      <c r="AH186" s="100">
        <f t="shared" si="167"/>
        <v>0</v>
      </c>
      <c r="AI186" s="100">
        <f t="shared" si="156"/>
        <v>0.23352672411020425</v>
      </c>
      <c r="AJ186" s="471">
        <f t="shared" si="157"/>
        <v>0.99999999999999989</v>
      </c>
      <c r="AK186" s="1250">
        <f t="shared" si="158"/>
        <v>40779.691570961048</v>
      </c>
      <c r="AL186" s="1251">
        <f t="shared" si="159"/>
        <v>1495.7158378826043</v>
      </c>
      <c r="AM186" s="1251">
        <f t="shared" si="160"/>
        <v>79.405581396778629</v>
      </c>
      <c r="AN186" s="1251">
        <f t="shared" si="161"/>
        <v>42354.812990240433</v>
      </c>
      <c r="AO186" s="1022">
        <f t="shared" si="162"/>
        <v>0</v>
      </c>
    </row>
    <row r="187" spans="1:41">
      <c r="A187" s="89">
        <f>'Input data'!A127</f>
        <v>2027</v>
      </c>
      <c r="B187" s="152">
        <f>'Input data'!B127</f>
        <v>64.045537563425796</v>
      </c>
      <c r="C187" s="204">
        <f>'Input data'!C127</f>
        <v>4895.4664822406658</v>
      </c>
      <c r="D187" s="474">
        <f>'Input data'!E127</f>
        <v>47544656.205152296</v>
      </c>
      <c r="E187" s="473">
        <f>'Input data'!J127*C187</f>
        <v>58897.58061237228</v>
      </c>
      <c r="F187" s="474">
        <f>'Input data'!L127</f>
        <v>106442.23681752456</v>
      </c>
      <c r="G187" s="474">
        <f t="shared" si="163"/>
        <v>40155.6458200876</v>
      </c>
      <c r="H187" s="474">
        <f t="shared" si="135"/>
        <v>38258.595404161933</v>
      </c>
      <c r="I187" s="475">
        <f t="shared" si="138"/>
        <v>47544.656205152292</v>
      </c>
      <c r="J187" s="100">
        <f t="shared" si="139"/>
        <v>0.15237656310721223</v>
      </c>
      <c r="K187" s="474">
        <f t="shared" si="164"/>
        <v>4318.4252349433409</v>
      </c>
      <c r="L187" s="474">
        <f t="shared" si="140"/>
        <v>0</v>
      </c>
      <c r="M187" s="475">
        <f t="shared" si="165"/>
        <v>4318.4252349433409</v>
      </c>
      <c r="N187" s="579">
        <f>$C$27</f>
        <v>0.5</v>
      </c>
      <c r="O187" s="475">
        <f t="shared" si="141"/>
        <v>751.91700000000026</v>
      </c>
      <c r="P187" s="1234">
        <f t="shared" si="168"/>
        <v>5070.3422349433413</v>
      </c>
      <c r="Q187" s="467">
        <f t="shared" si="142"/>
        <v>73343.898989306195</v>
      </c>
      <c r="R187" s="467">
        <f t="shared" si="166"/>
        <v>33188.253169218595</v>
      </c>
      <c r="S187" s="518">
        <f t="shared" si="143"/>
        <v>1.004367490808237</v>
      </c>
      <c r="T187" s="118" t="str">
        <f t="shared" si="144"/>
        <v>No</v>
      </c>
      <c r="U187" s="938">
        <f t="shared" si="145"/>
        <v>1</v>
      </c>
      <c r="V187" s="1247">
        <f t="shared" si="136"/>
        <v>73398.302726715585</v>
      </c>
      <c r="W187" s="1244">
        <f t="shared" si="137"/>
        <v>0.31044005724397417</v>
      </c>
      <c r="X187" s="473">
        <f t="shared" si="146"/>
        <v>40299.964898497194</v>
      </c>
      <c r="Y187" s="474">
        <f t="shared" si="147"/>
        <v>11961.100083630923</v>
      </c>
      <c r="Z187" s="116">
        <f t="shared" si="148"/>
        <v>3413.4690396132614</v>
      </c>
      <c r="AA187" s="116">
        <f t="shared" si="149"/>
        <v>0</v>
      </c>
      <c r="AB187" s="116">
        <f>E187*$E$12</f>
        <v>17723.768704974198</v>
      </c>
      <c r="AC187" s="116">
        <f t="shared" si="151"/>
        <v>73398.302726715585</v>
      </c>
      <c r="AD187" s="1240">
        <f t="shared" si="152"/>
        <v>144.3190784095932</v>
      </c>
      <c r="AE187" s="579">
        <f t="shared" si="153"/>
        <v>0.54905853952163353</v>
      </c>
      <c r="AF187" s="100">
        <f t="shared" si="154"/>
        <v>0.16296153506663186</v>
      </c>
      <c r="AG187" s="100">
        <f t="shared" si="155"/>
        <v>4.6506103176835775E-2</v>
      </c>
      <c r="AH187" s="100">
        <f t="shared" si="167"/>
        <v>0</v>
      </c>
      <c r="AI187" s="100">
        <f t="shared" si="156"/>
        <v>0.24147382223489869</v>
      </c>
      <c r="AJ187" s="471">
        <f t="shared" si="157"/>
        <v>0.99999999999999989</v>
      </c>
      <c r="AK187" s="1250">
        <f t="shared" si="158"/>
        <v>40299.964898497186</v>
      </c>
      <c r="AL187" s="1251">
        <f t="shared" si="159"/>
        <v>0</v>
      </c>
      <c r="AM187" s="1251">
        <f t="shared" si="160"/>
        <v>0</v>
      </c>
      <c r="AN187" s="1251">
        <f t="shared" si="161"/>
        <v>40299.964898497186</v>
      </c>
      <c r="AO187" s="1022">
        <f t="shared" si="162"/>
        <v>0</v>
      </c>
    </row>
    <row r="188" spans="1:41">
      <c r="A188" s="89">
        <f>'Input data'!A128</f>
        <v>2028</v>
      </c>
      <c r="B188" s="152">
        <f>'Input data'!B128</f>
        <v>64.676158618096451</v>
      </c>
      <c r="C188" s="204">
        <f>'Input data'!C128</f>
        <v>5007.2618284439486</v>
      </c>
      <c r="D188" s="474">
        <f>'Input data'!E128</f>
        <v>47264829.111875661</v>
      </c>
      <c r="E188" s="473">
        <f>'Input data'!J128*C188</f>
        <v>60242.595523409356</v>
      </c>
      <c r="F188" s="474">
        <f>'Input data'!L128</f>
        <v>107507.42463528502</v>
      </c>
      <c r="G188" s="474">
        <f t="shared" si="163"/>
        <v>38070.664875792791</v>
      </c>
      <c r="H188" s="474">
        <f t="shared" si="135"/>
        <v>40852.751112077778</v>
      </c>
      <c r="I188" s="475">
        <f t="shared" si="138"/>
        <v>47264.829111875661</v>
      </c>
      <c r="J188" s="100">
        <f t="shared" si="139"/>
        <v>0.16683562054324133</v>
      </c>
      <c r="K188" s="474">
        <f t="shared" si="164"/>
        <v>4976.4137478271114</v>
      </c>
      <c r="L188" s="474">
        <f t="shared" si="140"/>
        <v>0</v>
      </c>
      <c r="M188" s="475">
        <f t="shared" si="165"/>
        <v>4976.4137478271114</v>
      </c>
      <c r="N188" s="579">
        <f>N187</f>
        <v>0.5</v>
      </c>
      <c r="O188" s="475">
        <f t="shared" si="141"/>
        <v>751.91700000000026</v>
      </c>
      <c r="P188" s="1234">
        <f t="shared" si="168"/>
        <v>5728.3307478271117</v>
      </c>
      <c r="Q188" s="467">
        <f t="shared" si="142"/>
        <v>73195.085240043452</v>
      </c>
      <c r="R188" s="467">
        <f t="shared" si="166"/>
        <v>35124.420364250662</v>
      </c>
      <c r="S188" s="518">
        <f t="shared" si="143"/>
        <v>1.0387011544812219</v>
      </c>
      <c r="T188" s="118" t="str">
        <f t="shared" si="144"/>
        <v>No</v>
      </c>
      <c r="U188" s="938">
        <f t="shared" si="145"/>
        <v>1</v>
      </c>
      <c r="V188" s="1247">
        <f t="shared" si="136"/>
        <v>73691.711412367193</v>
      </c>
      <c r="W188" s="1244">
        <f t="shared" si="137"/>
        <v>0.31454304981852543</v>
      </c>
      <c r="X188" s="473">
        <f t="shared" si="146"/>
        <v>39379.372017125628</v>
      </c>
      <c r="Y188" s="474">
        <f t="shared" si="147"/>
        <v>12709.572165696211</v>
      </c>
      <c r="Z188" s="116">
        <f t="shared" si="148"/>
        <v>3474.2495868371143</v>
      </c>
      <c r="AA188" s="116">
        <f t="shared" si="149"/>
        <v>0</v>
      </c>
      <c r="AB188" s="116">
        <f t="shared" si="150"/>
        <v>18128.517642708237</v>
      </c>
      <c r="AC188" s="116">
        <f t="shared" si="151"/>
        <v>73691.711412367193</v>
      </c>
      <c r="AD188" s="1240">
        <f t="shared" si="152"/>
        <v>1308.7071413328376</v>
      </c>
      <c r="AE188" s="579">
        <f t="shared" si="153"/>
        <v>0.53437993584875343</v>
      </c>
      <c r="AF188" s="100">
        <f t="shared" si="154"/>
        <v>0.17246949381559956</v>
      </c>
      <c r="AG188" s="100">
        <f t="shared" si="155"/>
        <v>4.7145730778265706E-2</v>
      </c>
      <c r="AH188" s="100">
        <f t="shared" si="167"/>
        <v>0</v>
      </c>
      <c r="AI188" s="100">
        <f t="shared" si="156"/>
        <v>0.24600483955738131</v>
      </c>
      <c r="AJ188" s="471">
        <f t="shared" si="157"/>
        <v>1</v>
      </c>
      <c r="AK188" s="1250">
        <f t="shared" si="158"/>
        <v>39379.372017125628</v>
      </c>
      <c r="AL188" s="1251">
        <f t="shared" si="159"/>
        <v>0</v>
      </c>
      <c r="AM188" s="1251">
        <f t="shared" si="160"/>
        <v>0</v>
      </c>
      <c r="AN188" s="1251">
        <f t="shared" si="161"/>
        <v>39379.372017125628</v>
      </c>
      <c r="AO188" s="1022">
        <f t="shared" si="162"/>
        <v>0</v>
      </c>
    </row>
    <row r="189" spans="1:41">
      <c r="A189" s="89">
        <f>'Input data'!A129</f>
        <v>2029</v>
      </c>
      <c r="B189" s="152">
        <f>'Input data'!B129</f>
        <v>65.31298905018393</v>
      </c>
      <c r="C189" s="204">
        <f>'Input data'!C129</f>
        <v>5127.4326756514902</v>
      </c>
      <c r="D189" s="474">
        <f>'Input data'!E129</f>
        <v>45911028.865820996</v>
      </c>
      <c r="E189" s="473">
        <f>'Input data'!J129*C189</f>
        <v>61688.376469176088</v>
      </c>
      <c r="F189" s="474">
        <f>'Input data'!L129</f>
        <v>107599.40533499708</v>
      </c>
      <c r="G189" s="474">
        <f t="shared" si="163"/>
        <v>36093.941324681233</v>
      </c>
      <c r="H189" s="474">
        <f t="shared" si="135"/>
        <v>42388.597161053549</v>
      </c>
      <c r="I189" s="475">
        <f t="shared" si="138"/>
        <v>45911.028865820997</v>
      </c>
      <c r="J189" s="100">
        <f>$J$137*(1+((($J$150/$J$137)^(1/($A$150-$A$137)))-1))^(A189-$A$137)</f>
        <v>0.18266670224386344</v>
      </c>
      <c r="K189" s="474">
        <f t="shared" si="164"/>
        <v>5560.6962362736667</v>
      </c>
      <c r="L189" s="474">
        <f t="shared" si="140"/>
        <v>0</v>
      </c>
      <c r="M189" s="475">
        <f t="shared" si="165"/>
        <v>5560.6962362736667</v>
      </c>
      <c r="N189" s="579">
        <f t="shared" ref="N189:N210" si="169">N188</f>
        <v>0.5</v>
      </c>
      <c r="O189" s="475">
        <f t="shared" si="141"/>
        <v>751.91700000000026</v>
      </c>
      <c r="P189" s="1234">
        <f t="shared" si="168"/>
        <v>6312.6132362736671</v>
      </c>
      <c r="Q189" s="467">
        <f t="shared" si="142"/>
        <v>72169.925249461114</v>
      </c>
      <c r="R189" s="467">
        <f t="shared" si="166"/>
        <v>36075.983924779881</v>
      </c>
      <c r="S189" s="518">
        <f t="shared" si="143"/>
        <v>1.0412948013244394</v>
      </c>
      <c r="T189" s="118" t="str">
        <f t="shared" si="144"/>
        <v>No</v>
      </c>
      <c r="U189" s="938">
        <f t="shared" si="145"/>
        <v>1</v>
      </c>
      <c r="V189" s="1247">
        <f t="shared" si="136"/>
        <v>72954.092711814621</v>
      </c>
      <c r="W189" s="1244">
        <f t="shared" si="137"/>
        <v>0.32198423880985849</v>
      </c>
      <c r="X189" s="473">
        <f t="shared" si="146"/>
        <v>37524.612626278649</v>
      </c>
      <c r="Y189" s="474">
        <f t="shared" si="147"/>
        <v>13326.306761216732</v>
      </c>
      <c r="Z189" s="116">
        <f t="shared" si="148"/>
        <v>3539.5837004803343</v>
      </c>
      <c r="AA189" s="116">
        <f t="shared" si="149"/>
        <v>0</v>
      </c>
      <c r="AB189" s="116">
        <f t="shared" si="150"/>
        <v>18563.58962383891</v>
      </c>
      <c r="AC189" s="116">
        <f t="shared" si="151"/>
        <v>72954.092711814621</v>
      </c>
      <c r="AD189" s="1240">
        <f t="shared" si="152"/>
        <v>1430.6713015974165</v>
      </c>
      <c r="AE189" s="579">
        <f t="shared" si="153"/>
        <v>0.51435925294156515</v>
      </c>
      <c r="AF189" s="100">
        <f t="shared" si="154"/>
        <v>0.18266702066817139</v>
      </c>
      <c r="AG189" s="100">
        <f t="shared" si="155"/>
        <v>4.8517959293421696E-2</v>
      </c>
      <c r="AH189" s="100">
        <f t="shared" si="167"/>
        <v>0</v>
      </c>
      <c r="AI189" s="100">
        <f t="shared" si="156"/>
        <v>0.25445576709684187</v>
      </c>
      <c r="AJ189" s="471">
        <f t="shared" si="157"/>
        <v>1.0000000000000002</v>
      </c>
      <c r="AK189" s="1250">
        <f t="shared" si="158"/>
        <v>37524.612626278649</v>
      </c>
      <c r="AL189" s="1251">
        <f t="shared" si="159"/>
        <v>0</v>
      </c>
      <c r="AM189" s="1251">
        <f t="shared" si="160"/>
        <v>0</v>
      </c>
      <c r="AN189" s="1251">
        <f t="shared" si="161"/>
        <v>37524.612626278649</v>
      </c>
      <c r="AO189" s="1022">
        <f t="shared" si="162"/>
        <v>0</v>
      </c>
    </row>
    <row r="190" spans="1:41">
      <c r="A190" s="89">
        <f>'Input data'!A130</f>
        <v>2030</v>
      </c>
      <c r="B190" s="152">
        <f>'Input data'!B130</f>
        <v>65.956090000000003</v>
      </c>
      <c r="C190" s="204">
        <f>'Input data'!C130</f>
        <v>5247.6087278453806</v>
      </c>
      <c r="D190" s="474">
        <f>'Input data'!E130</f>
        <v>43025080.542663962</v>
      </c>
      <c r="E190" s="473">
        <f>'Input data'!J130*C190</f>
        <v>63134.220036371073</v>
      </c>
      <c r="F190" s="474">
        <f>'Input data'!L130</f>
        <v>106159.30057903504</v>
      </c>
      <c r="G190" s="474">
        <f>G177*(1-$C$4)</f>
        <v>34219.854173807704</v>
      </c>
      <c r="H190" s="474">
        <f t="shared" si="135"/>
        <v>42383.99491464888</v>
      </c>
      <c r="I190" s="475">
        <f t="shared" si="138"/>
        <v>43025.080542663964</v>
      </c>
      <c r="J190" s="100">
        <v>0.2</v>
      </c>
      <c r="K190" s="474">
        <f t="shared" si="164"/>
        <v>5956.919698256941</v>
      </c>
      <c r="L190" s="474">
        <f t="shared" si="140"/>
        <v>0</v>
      </c>
      <c r="M190" s="475">
        <f t="shared" si="165"/>
        <v>5956.919698256941</v>
      </c>
      <c r="N190" s="579">
        <f t="shared" si="169"/>
        <v>0.5</v>
      </c>
      <c r="O190" s="475">
        <f t="shared" si="141"/>
        <v>751.91700000000026</v>
      </c>
      <c r="P190" s="1234">
        <f t="shared" si="168"/>
        <v>6708.8366982569414</v>
      </c>
      <c r="Q190" s="467">
        <f t="shared" si="142"/>
        <v>69895.012390199641</v>
      </c>
      <c r="R190" s="467">
        <f t="shared" si="166"/>
        <v>35675.158216391937</v>
      </c>
      <c r="S190" s="518">
        <f t="shared" si="143"/>
        <v>1.0056437083592455</v>
      </c>
      <c r="T190" s="118" t="str">
        <f t="shared" si="144"/>
        <v>No</v>
      </c>
      <c r="U190" s="938">
        <f t="shared" si="145"/>
        <v>1</v>
      </c>
      <c r="V190" s="1247">
        <f t="shared" si="136"/>
        <v>70684.352622966573</v>
      </c>
      <c r="W190" s="1244">
        <f t="shared" si="137"/>
        <v>0.33416712207572952</v>
      </c>
      <c r="X190" s="473">
        <f t="shared" si="146"/>
        <v>34420.064434131171</v>
      </c>
      <c r="Y190" s="474">
        <f t="shared" si="147"/>
        <v>13660.687095542968</v>
      </c>
      <c r="Z190" s="116">
        <f t="shared" si="148"/>
        <v>3604.9206439543955</v>
      </c>
      <c r="AA190" s="116">
        <f t="shared" si="149"/>
        <v>0</v>
      </c>
      <c r="AB190" s="116">
        <f t="shared" si="150"/>
        <v>18998.680449338044</v>
      </c>
      <c r="AC190" s="116">
        <f t="shared" si="151"/>
        <v>70684.352622966573</v>
      </c>
      <c r="AD190" s="1240">
        <f t="shared" si="152"/>
        <v>200.21026032346708</v>
      </c>
      <c r="AE190" s="579">
        <f t="shared" si="153"/>
        <v>0.48695451195159556</v>
      </c>
      <c r="AF190" s="100">
        <f t="shared" si="154"/>
        <v>0.19326324127787758</v>
      </c>
      <c r="AG190" s="100">
        <f t="shared" si="155"/>
        <v>5.1000263993124476E-2</v>
      </c>
      <c r="AH190" s="100">
        <f t="shared" si="167"/>
        <v>0</v>
      </c>
      <c r="AI190" s="100">
        <f t="shared" si="156"/>
        <v>0.26878198277740245</v>
      </c>
      <c r="AJ190" s="471">
        <f t="shared" si="157"/>
        <v>1</v>
      </c>
      <c r="AK190" s="1250">
        <f t="shared" si="158"/>
        <v>34420.064434131171</v>
      </c>
      <c r="AL190" s="1251">
        <f t="shared" si="159"/>
        <v>0</v>
      </c>
      <c r="AM190" s="1251">
        <f t="shared" si="160"/>
        <v>0</v>
      </c>
      <c r="AN190" s="1251">
        <f t="shared" si="161"/>
        <v>34420.064434131171</v>
      </c>
      <c r="AO190" s="1022">
        <f t="shared" si="162"/>
        <v>0</v>
      </c>
    </row>
    <row r="191" spans="1:41">
      <c r="A191" s="89">
        <f>'Input data'!A131</f>
        <v>2031</v>
      </c>
      <c r="B191" s="152">
        <f>'Input data'!B131</f>
        <v>66.518977190687664</v>
      </c>
      <c r="C191" s="204">
        <f>'Input data'!C131</f>
        <v>5388.2194214943684</v>
      </c>
      <c r="D191" s="474">
        <f>'Input data'!E131</f>
        <v>41478479.110071354</v>
      </c>
      <c r="E191" s="473">
        <f>'Input data'!J131*C191</f>
        <v>64825.913707279899</v>
      </c>
      <c r="F191" s="474">
        <f>'Input data'!L131</f>
        <v>106304.39281735125</v>
      </c>
      <c r="G191" s="474">
        <f>$G$150*(1+((($G$160/$G$150)^(1/($A$160-$A$150)))-1))^(A191-$A$150)</f>
        <v>33020.827958397946</v>
      </c>
      <c r="H191" s="474">
        <f t="shared" si="135"/>
        <v>43102.315390935837</v>
      </c>
      <c r="I191" s="475">
        <f t="shared" si="138"/>
        <v>41478.479110071356</v>
      </c>
      <c r="J191" s="100">
        <f t="shared" ref="J191:J210" si="170">J190</f>
        <v>0.2</v>
      </c>
      <c r="K191" s="474">
        <f t="shared" si="164"/>
        <v>5742.7892324225395</v>
      </c>
      <c r="L191" s="474">
        <f t="shared" si="140"/>
        <v>0</v>
      </c>
      <c r="M191" s="475">
        <f t="shared" si="165"/>
        <v>5742.7892324225395</v>
      </c>
      <c r="N191" s="579">
        <f t="shared" si="169"/>
        <v>0.5</v>
      </c>
      <c r="O191" s="475">
        <f t="shared" si="141"/>
        <v>751.91700000000026</v>
      </c>
      <c r="P191" s="1234">
        <f t="shared" si="168"/>
        <v>6494.7062324225399</v>
      </c>
      <c r="Q191" s="467">
        <f t="shared" si="142"/>
        <v>69628.437116911242</v>
      </c>
      <c r="R191" s="467">
        <f t="shared" si="166"/>
        <v>36607.609158513296</v>
      </c>
      <c r="S191" s="518">
        <f t="shared" si="143"/>
        <v>1.0044437487778288</v>
      </c>
      <c r="T191" s="118" t="str">
        <f t="shared" si="144"/>
        <v>No</v>
      </c>
      <c r="U191" s="938">
        <f t="shared" si="145"/>
        <v>1</v>
      </c>
      <c r="V191" s="1247">
        <f t="shared" si="136"/>
        <v>69858.738988497091</v>
      </c>
      <c r="W191" s="1244">
        <f t="shared" si="137"/>
        <v>0.34284240625384033</v>
      </c>
      <c r="X191" s="473">
        <f t="shared" si="146"/>
        <v>33182.783288057086</v>
      </c>
      <c r="Y191" s="474">
        <f t="shared" si="147"/>
        <v>13486.834493680966</v>
      </c>
      <c r="Z191" s="116">
        <f t="shared" si="148"/>
        <v>3681.3674299410918</v>
      </c>
      <c r="AA191" s="116">
        <f t="shared" si="149"/>
        <v>0</v>
      </c>
      <c r="AB191" s="116">
        <f t="shared" si="150"/>
        <v>19507.753776817954</v>
      </c>
      <c r="AC191" s="116">
        <f t="shared" si="151"/>
        <v>69858.738988497091</v>
      </c>
      <c r="AD191" s="1240">
        <f t="shared" si="152"/>
        <v>161.95532965914026</v>
      </c>
      <c r="AE191" s="579">
        <f t="shared" si="153"/>
        <v>0.47499831472081033</v>
      </c>
      <c r="AF191" s="100">
        <f t="shared" si="154"/>
        <v>0.19305865935973598</v>
      </c>
      <c r="AG191" s="100">
        <f t="shared" si="155"/>
        <v>5.269730721230545E-2</v>
      </c>
      <c r="AH191" s="100">
        <f t="shared" si="167"/>
        <v>0</v>
      </c>
      <c r="AI191" s="100">
        <f t="shared" si="156"/>
        <v>0.27924571870714832</v>
      </c>
      <c r="AJ191" s="471">
        <f t="shared" si="157"/>
        <v>1</v>
      </c>
      <c r="AK191" s="1250">
        <f t="shared" si="158"/>
        <v>33182.783288057086</v>
      </c>
      <c r="AL191" s="1251">
        <f t="shared" si="159"/>
        <v>0</v>
      </c>
      <c r="AM191" s="1251">
        <f t="shared" si="160"/>
        <v>0</v>
      </c>
      <c r="AN191" s="1251">
        <f t="shared" si="161"/>
        <v>33182.783288057086</v>
      </c>
      <c r="AO191" s="1022">
        <f t="shared" si="162"/>
        <v>0</v>
      </c>
    </row>
    <row r="192" spans="1:41">
      <c r="A192" s="89">
        <f>'Input data'!A132</f>
        <v>2032</v>
      </c>
      <c r="B192" s="152">
        <f>'Input data'!B132</f>
        <v>67.08666821358311</v>
      </c>
      <c r="C192" s="204">
        <f>'Input data'!C132</f>
        <v>5536.7385220125598</v>
      </c>
      <c r="D192" s="474">
        <f>'Input data'!E132</f>
        <v>41255345.957373768</v>
      </c>
      <c r="E192" s="473">
        <f>'Input data'!J132*C192</f>
        <v>66612.753782067521</v>
      </c>
      <c r="F192" s="474">
        <f>'Input data'!L132</f>
        <v>107868.0997394413</v>
      </c>
      <c r="G192" s="474">
        <f t="shared" ref="G192:G199" si="171">$G$150*(1+((($G$160/$G$150)^(1/($A$160-$A$150)))-1))^(A192-$A$150)</f>
        <v>31863.814308498775</v>
      </c>
      <c r="H192" s="474">
        <f t="shared" si="135"/>
        <v>45075.230785840533</v>
      </c>
      <c r="I192" s="475">
        <f t="shared" si="138"/>
        <v>41255.345957373771</v>
      </c>
      <c r="J192" s="100">
        <f t="shared" si="170"/>
        <v>0.2</v>
      </c>
      <c r="K192" s="474">
        <f t="shared" si="164"/>
        <v>5711.8959428371691</v>
      </c>
      <c r="L192" s="474">
        <f t="shared" si="140"/>
        <v>0</v>
      </c>
      <c r="M192" s="475">
        <f t="shared" si="165"/>
        <v>5711.8959428371691</v>
      </c>
      <c r="N192" s="579">
        <f t="shared" si="169"/>
        <v>0.5</v>
      </c>
      <c r="O192" s="475">
        <f t="shared" si="141"/>
        <v>751.91700000000026</v>
      </c>
      <c r="P192" s="1234">
        <f t="shared" si="168"/>
        <v>6463.8129428371694</v>
      </c>
      <c r="Q192" s="467">
        <f t="shared" si="142"/>
        <v>70475.232151502132</v>
      </c>
      <c r="R192" s="467">
        <f t="shared" si="166"/>
        <v>38611.417843003357</v>
      </c>
      <c r="S192" s="518">
        <f t="shared" si="143"/>
        <v>1.030435905507721</v>
      </c>
      <c r="T192" s="118" t="str">
        <f t="shared" si="144"/>
        <v>No</v>
      </c>
      <c r="U192" s="938">
        <f t="shared" si="145"/>
        <v>1</v>
      </c>
      <c r="V192" s="1247">
        <f t="shared" si="136"/>
        <v>70397.144353838172</v>
      </c>
      <c r="W192" s="1244">
        <f t="shared" si="137"/>
        <v>0.34737754235140295</v>
      </c>
      <c r="X192" s="473">
        <f t="shared" si="146"/>
        <v>33004.27676589902</v>
      </c>
      <c r="Y192" s="474">
        <f t="shared" si="147"/>
        <v>13585.294694963031</v>
      </c>
      <c r="Z192" s="116">
        <f t="shared" si="148"/>
        <v>3762.1138340559442</v>
      </c>
      <c r="AA192" s="116">
        <f t="shared" si="149"/>
        <v>0</v>
      </c>
      <c r="AB192" s="116">
        <f t="shared" si="150"/>
        <v>20045.459058920187</v>
      </c>
      <c r="AC192" s="116">
        <f t="shared" si="151"/>
        <v>70397.144353838172</v>
      </c>
      <c r="AD192" s="1240">
        <f t="shared" si="152"/>
        <v>1140.4624574002446</v>
      </c>
      <c r="AE192" s="579">
        <f t="shared" si="153"/>
        <v>0.46882976673043941</v>
      </c>
      <c r="AF192" s="100">
        <f t="shared" si="154"/>
        <v>0.19298076391677296</v>
      </c>
      <c r="AG192" s="100">
        <f t="shared" si="155"/>
        <v>5.3441284708174774E-2</v>
      </c>
      <c r="AH192" s="100">
        <f t="shared" si="167"/>
        <v>0</v>
      </c>
      <c r="AI192" s="100">
        <f t="shared" si="156"/>
        <v>0.28474818464461299</v>
      </c>
      <c r="AJ192" s="471">
        <f t="shared" si="157"/>
        <v>1.0000000000000002</v>
      </c>
      <c r="AK192" s="1250">
        <f t="shared" si="158"/>
        <v>33004.27676589902</v>
      </c>
      <c r="AL192" s="1251">
        <f t="shared" si="159"/>
        <v>0</v>
      </c>
      <c r="AM192" s="1251">
        <f t="shared" si="160"/>
        <v>0</v>
      </c>
      <c r="AN192" s="1251">
        <f t="shared" si="161"/>
        <v>33004.27676589902</v>
      </c>
      <c r="AO192" s="1022">
        <f t="shared" si="162"/>
        <v>0</v>
      </c>
    </row>
    <row r="193" spans="1:41">
      <c r="A193" s="89">
        <f>'Input data'!A133</f>
        <v>2033</v>
      </c>
      <c r="B193" s="152">
        <f>'Input data'!B133</f>
        <v>67.659204065895452</v>
      </c>
      <c r="C193" s="204">
        <f>'Input data'!C133</f>
        <v>5692.5826618103829</v>
      </c>
      <c r="D193" s="474">
        <f>'Input data'!E133</f>
        <v>40262688.170007341</v>
      </c>
      <c r="E193" s="473">
        <f>'Input data'!J133*C193</f>
        <v>68487.721738646593</v>
      </c>
      <c r="F193" s="474">
        <f>'Input data'!L133</f>
        <v>108750.40990865394</v>
      </c>
      <c r="G193" s="474">
        <f t="shared" si="171"/>
        <v>30747.341149823493</v>
      </c>
      <c r="H193" s="474">
        <f t="shared" si="135"/>
        <v>46336.011961929107</v>
      </c>
      <c r="I193" s="475">
        <f t="shared" si="138"/>
        <v>40262.688170007343</v>
      </c>
      <c r="J193" s="100">
        <f t="shared" si="170"/>
        <v>0.2</v>
      </c>
      <c r="K193" s="474">
        <f t="shared" si="164"/>
        <v>5574.460227375168</v>
      </c>
      <c r="L193" s="474">
        <f t="shared" si="140"/>
        <v>0</v>
      </c>
      <c r="M193" s="475">
        <f t="shared" si="165"/>
        <v>5574.460227375168</v>
      </c>
      <c r="N193" s="579">
        <f t="shared" si="169"/>
        <v>0.5</v>
      </c>
      <c r="O193" s="475">
        <f t="shared" si="141"/>
        <v>751.91700000000026</v>
      </c>
      <c r="P193" s="1234">
        <f t="shared" si="168"/>
        <v>6326.3772273751683</v>
      </c>
      <c r="Q193" s="467">
        <f t="shared" si="142"/>
        <v>70756.975884377433</v>
      </c>
      <c r="R193" s="467">
        <f t="shared" si="166"/>
        <v>40009.63473455394</v>
      </c>
      <c r="S193" s="518">
        <f t="shared" si="143"/>
        <v>1.0379488939221861</v>
      </c>
      <c r="T193" s="118" t="str">
        <f t="shared" si="144"/>
        <v>No</v>
      </c>
      <c r="U193" s="938">
        <f t="shared" si="145"/>
        <v>1</v>
      </c>
      <c r="V193" s="1247">
        <f t="shared" si="136"/>
        <v>70203.584560282368</v>
      </c>
      <c r="W193" s="1244">
        <f t="shared" si="137"/>
        <v>0.35445223039388429</v>
      </c>
      <c r="X193" s="473">
        <f t="shared" si="146"/>
        <v>32210.150536005876</v>
      </c>
      <c r="Y193" s="474">
        <f t="shared" si="147"/>
        <v>13536.907086273615</v>
      </c>
      <c r="Z193" s="116">
        <f t="shared" si="148"/>
        <v>3846.8426928164727</v>
      </c>
      <c r="AA193" s="116">
        <f t="shared" si="149"/>
        <v>0</v>
      </c>
      <c r="AB193" s="116">
        <f t="shared" si="150"/>
        <v>20609.68424518641</v>
      </c>
      <c r="AC193" s="116">
        <f t="shared" si="151"/>
        <v>70203.584560282368</v>
      </c>
      <c r="AD193" s="1240">
        <f t="shared" si="152"/>
        <v>1462.8093861823836</v>
      </c>
      <c r="AE193" s="579">
        <f t="shared" si="153"/>
        <v>0.45881062537978651</v>
      </c>
      <c r="AF193" s="100">
        <f t="shared" si="154"/>
        <v>0.19282358829768517</v>
      </c>
      <c r="AG193" s="100">
        <f t="shared" si="155"/>
        <v>5.4795530981943924E-2</v>
      </c>
      <c r="AH193" s="100">
        <f t="shared" si="167"/>
        <v>0</v>
      </c>
      <c r="AI193" s="100">
        <f t="shared" si="156"/>
        <v>0.29357025534058451</v>
      </c>
      <c r="AJ193" s="471">
        <f t="shared" si="157"/>
        <v>1</v>
      </c>
      <c r="AK193" s="1250">
        <f t="shared" si="158"/>
        <v>32210.150536005873</v>
      </c>
      <c r="AL193" s="1251">
        <f t="shared" si="159"/>
        <v>0</v>
      </c>
      <c r="AM193" s="1251">
        <f t="shared" si="160"/>
        <v>0</v>
      </c>
      <c r="AN193" s="1251">
        <f t="shared" si="161"/>
        <v>32210.150536005873</v>
      </c>
      <c r="AO193" s="1022">
        <f t="shared" si="162"/>
        <v>0</v>
      </c>
    </row>
    <row r="194" spans="1:41">
      <c r="A194" s="89">
        <f>'Input data'!A134</f>
        <v>2034</v>
      </c>
      <c r="B194" s="152">
        <f>'Input data'!B134</f>
        <v>68.236626094715163</v>
      </c>
      <c r="C194" s="204">
        <f>'Input data'!C134</f>
        <v>5868.7539844737303</v>
      </c>
      <c r="D194" s="474">
        <f>'Input data'!E134</f>
        <v>39656259.723391399</v>
      </c>
      <c r="E194" s="473">
        <f>'Input data'!J134*C194</f>
        <v>70607.24695974536</v>
      </c>
      <c r="F194" s="474">
        <f>'Input data'!L134</f>
        <v>110263.50668313676</v>
      </c>
      <c r="G194" s="474">
        <f t="shared" si="171"/>
        <v>29669.987987956312</v>
      </c>
      <c r="H194" s="474">
        <f t="shared" si="135"/>
        <v>48060.459639023218</v>
      </c>
      <c r="I194" s="475">
        <f t="shared" si="138"/>
        <v>39656.259723391398</v>
      </c>
      <c r="J194" s="100">
        <f t="shared" si="170"/>
        <v>0.2</v>
      </c>
      <c r="K194" s="474">
        <f t="shared" si="164"/>
        <v>5490.4988375609701</v>
      </c>
      <c r="L194" s="474">
        <f t="shared" si="140"/>
        <v>0</v>
      </c>
      <c r="M194" s="475">
        <f t="shared" si="165"/>
        <v>5490.4988375609701</v>
      </c>
      <c r="N194" s="579">
        <f t="shared" si="169"/>
        <v>0.5</v>
      </c>
      <c r="O194" s="475">
        <f t="shared" si="141"/>
        <v>751.91700000000026</v>
      </c>
      <c r="P194" s="1234">
        <f t="shared" si="168"/>
        <v>6242.4158375609704</v>
      </c>
      <c r="Q194" s="467">
        <f t="shared" si="142"/>
        <v>71488.031789418557</v>
      </c>
      <c r="R194" s="467">
        <f t="shared" si="166"/>
        <v>41818.043801462249</v>
      </c>
      <c r="S194" s="518">
        <f t="shared" si="143"/>
        <v>1.0516816776863736</v>
      </c>
      <c r="T194" s="118" t="str">
        <f t="shared" si="144"/>
        <v>No</v>
      </c>
      <c r="U194" s="938">
        <f t="shared" si="145"/>
        <v>1</v>
      </c>
      <c r="V194" s="1247">
        <f t="shared" si="136"/>
        <v>70500.482672431346</v>
      </c>
      <c r="W194" s="1244">
        <f t="shared" si="137"/>
        <v>0.36061817011653774</v>
      </c>
      <c r="X194" s="473">
        <f t="shared" si="146"/>
        <v>31725.007778713119</v>
      </c>
      <c r="Y194" s="474">
        <f t="shared" si="147"/>
        <v>13585.349036895488</v>
      </c>
      <c r="Z194" s="116">
        <f t="shared" si="148"/>
        <v>3942.6229713368125</v>
      </c>
      <c r="AA194" s="116">
        <f t="shared" si="149"/>
        <v>0</v>
      </c>
      <c r="AB194" s="116">
        <f t="shared" si="150"/>
        <v>21247.502885485916</v>
      </c>
      <c r="AC194" s="116">
        <f t="shared" si="151"/>
        <v>70500.482672431346</v>
      </c>
      <c r="AD194" s="1240">
        <f t="shared" si="152"/>
        <v>2055.0197907568072</v>
      </c>
      <c r="AE194" s="579">
        <f t="shared" si="153"/>
        <v>0.44999702946883413</v>
      </c>
      <c r="AF194" s="100">
        <f t="shared" si="154"/>
        <v>0.19269866704342339</v>
      </c>
      <c r="AG194" s="100">
        <f t="shared" si="155"/>
        <v>5.5923347215302739E-2</v>
      </c>
      <c r="AH194" s="100">
        <f t="shared" si="167"/>
        <v>0</v>
      </c>
      <c r="AI194" s="100">
        <f t="shared" si="156"/>
        <v>0.3013809562724396</v>
      </c>
      <c r="AJ194" s="471">
        <f t="shared" si="157"/>
        <v>1</v>
      </c>
      <c r="AK194" s="1250">
        <f t="shared" si="158"/>
        <v>31725.007778713123</v>
      </c>
      <c r="AL194" s="1251">
        <f t="shared" si="159"/>
        <v>0</v>
      </c>
      <c r="AM194" s="1251">
        <f t="shared" si="160"/>
        <v>0</v>
      </c>
      <c r="AN194" s="1251">
        <f t="shared" si="161"/>
        <v>31725.007778713123</v>
      </c>
      <c r="AO194" s="1022">
        <f t="shared" si="162"/>
        <v>0</v>
      </c>
    </row>
    <row r="195" spans="1:41">
      <c r="A195" s="89">
        <f>'Input data'!A135</f>
        <v>2035</v>
      </c>
      <c r="B195" s="152">
        <f>'Input data'!B135</f>
        <v>68.818976000000006</v>
      </c>
      <c r="C195" s="204">
        <f>'Input data'!C135</f>
        <v>6036.7474148806386</v>
      </c>
      <c r="D195" s="474">
        <f>'Input data'!E135</f>
        <v>39791303.809178911</v>
      </c>
      <c r="E195" s="473">
        <f>'Input data'!J135*C195</f>
        <v>72628.383585975738</v>
      </c>
      <c r="F195" s="474">
        <f>'Input data'!L135</f>
        <v>112419.68739515464</v>
      </c>
      <c r="G195" s="474">
        <f t="shared" si="171"/>
        <v>28630.384101050156</v>
      </c>
      <c r="H195" s="474">
        <f t="shared" si="135"/>
        <v>50386.538539723224</v>
      </c>
      <c r="I195" s="475">
        <f t="shared" si="138"/>
        <v>39791.303809178913</v>
      </c>
      <c r="J195" s="100">
        <f t="shared" si="170"/>
        <v>0.2</v>
      </c>
      <c r="K195" s="474">
        <f t="shared" si="164"/>
        <v>5509.1959966276008</v>
      </c>
      <c r="L195" s="474">
        <f t="shared" si="140"/>
        <v>0</v>
      </c>
      <c r="M195" s="475">
        <f t="shared" si="165"/>
        <v>5509.1959966276008</v>
      </c>
      <c r="N195" s="579">
        <f t="shared" si="169"/>
        <v>0.5</v>
      </c>
      <c r="O195" s="475">
        <f t="shared" si="141"/>
        <v>751.91700000000026</v>
      </c>
      <c r="P195" s="1234">
        <f t="shared" si="168"/>
        <v>6261.1129966276012</v>
      </c>
      <c r="Q195" s="467">
        <f t="shared" si="142"/>
        <v>72755.809644145775</v>
      </c>
      <c r="R195" s="467">
        <f t="shared" si="166"/>
        <v>44125.425543095618</v>
      </c>
      <c r="S195" s="518">
        <f t="shared" si="143"/>
        <v>1.078261056439503</v>
      </c>
      <c r="T195" s="118" t="str">
        <f t="shared" si="144"/>
        <v>No</v>
      </c>
      <c r="U195" s="938">
        <f t="shared" si="145"/>
        <v>1</v>
      </c>
      <c r="V195" s="1247">
        <f t="shared" si="136"/>
        <v>71496.920798352017</v>
      </c>
      <c r="W195" s="1244">
        <f t="shared" si="137"/>
        <v>0.36401779390258671</v>
      </c>
      <c r="X195" s="473">
        <f t="shared" si="146"/>
        <v>31833.043047343133</v>
      </c>
      <c r="Y195" s="474">
        <f t="shared" si="147"/>
        <v>13774.206718205109</v>
      </c>
      <c r="Z195" s="116">
        <f t="shared" si="148"/>
        <v>4033.9571187491515</v>
      </c>
      <c r="AA195" s="116">
        <f t="shared" si="149"/>
        <v>0</v>
      </c>
      <c r="AB195" s="116">
        <f t="shared" si="150"/>
        <v>21855.713914054621</v>
      </c>
      <c r="AC195" s="116">
        <f t="shared" si="151"/>
        <v>71496.920798352017</v>
      </c>
      <c r="AD195" s="1240">
        <f t="shared" si="152"/>
        <v>3202.6589462929769</v>
      </c>
      <c r="AE195" s="579">
        <f t="shared" si="153"/>
        <v>0.44523655972715509</v>
      </c>
      <c r="AF195" s="100">
        <f t="shared" si="154"/>
        <v>0.19265454462092862</v>
      </c>
      <c r="AG195" s="100">
        <f t="shared" si="155"/>
        <v>5.642141051257879E-2</v>
      </c>
      <c r="AH195" s="100">
        <f t="shared" si="167"/>
        <v>0</v>
      </c>
      <c r="AI195" s="100">
        <f t="shared" si="156"/>
        <v>0.30568748513933747</v>
      </c>
      <c r="AJ195" s="471">
        <f t="shared" si="157"/>
        <v>1</v>
      </c>
      <c r="AK195" s="1250">
        <f t="shared" si="158"/>
        <v>31833.04304734313</v>
      </c>
      <c r="AL195" s="1251">
        <f t="shared" si="159"/>
        <v>0</v>
      </c>
      <c r="AM195" s="1251">
        <f t="shared" si="160"/>
        <v>0</v>
      </c>
      <c r="AN195" s="1251">
        <f t="shared" si="161"/>
        <v>31833.04304734313</v>
      </c>
      <c r="AO195" s="1022">
        <f t="shared" si="162"/>
        <v>0</v>
      </c>
    </row>
    <row r="196" spans="1:41">
      <c r="A196" s="89">
        <f>'Input data'!A136</f>
        <v>2036</v>
      </c>
      <c r="B196" s="152">
        <f>'Input data'!B136</f>
        <v>69.322810489383542</v>
      </c>
      <c r="C196" s="204">
        <f>'Input data'!C136</f>
        <v>6215.8972497914319</v>
      </c>
      <c r="D196" s="474">
        <f>'Input data'!E136</f>
        <v>39216082.697226301</v>
      </c>
      <c r="E196" s="473">
        <f>'Input data'!J136*C196</f>
        <v>74783.743423823558</v>
      </c>
      <c r="F196" s="474">
        <f>'Input data'!L136</f>
        <v>113999.82612104986</v>
      </c>
      <c r="G196" s="474">
        <f t="shared" si="171"/>
        <v>27627.206795850379</v>
      </c>
      <c r="H196" s="474">
        <f t="shared" si="135"/>
        <v>52086.65911216088</v>
      </c>
      <c r="I196" s="475">
        <f t="shared" si="138"/>
        <v>39216.082697226302</v>
      </c>
      <c r="J196" s="100">
        <f t="shared" si="170"/>
        <v>0.2</v>
      </c>
      <c r="K196" s="474">
        <f t="shared" si="164"/>
        <v>5429.5553328699571</v>
      </c>
      <c r="L196" s="474">
        <f t="shared" si="140"/>
        <v>0</v>
      </c>
      <c r="M196" s="475">
        <f t="shared" si="165"/>
        <v>5429.5553328699571</v>
      </c>
      <c r="N196" s="579">
        <f t="shared" si="169"/>
        <v>0.5</v>
      </c>
      <c r="O196" s="475">
        <f t="shared" si="141"/>
        <v>751.91700000000026</v>
      </c>
      <c r="P196" s="1234">
        <f t="shared" si="168"/>
        <v>6181.4723328699574</v>
      </c>
      <c r="Q196" s="467">
        <f t="shared" si="142"/>
        <v>73532.393575141294</v>
      </c>
      <c r="R196" s="467">
        <f t="shared" si="166"/>
        <v>45905.186779290918</v>
      </c>
      <c r="S196" s="518">
        <f t="shared" si="143"/>
        <v>1.0888449086454488</v>
      </c>
      <c r="T196" s="118" t="str">
        <f t="shared" si="144"/>
        <v>No</v>
      </c>
      <c r="U196" s="938">
        <f t="shared" si="145"/>
        <v>1</v>
      </c>
      <c r="V196" s="1247">
        <f t="shared" si="136"/>
        <v>71840.298703689623</v>
      </c>
      <c r="W196" s="1244">
        <f t="shared" si="137"/>
        <v>0.3698209800126665</v>
      </c>
      <c r="X196" s="473">
        <f t="shared" si="146"/>
        <v>31372.866157781042</v>
      </c>
      <c r="Y196" s="474">
        <f t="shared" si="147"/>
        <v>13831.759705259741</v>
      </c>
      <c r="Z196" s="116">
        <f t="shared" si="148"/>
        <v>4131.3567455738785</v>
      </c>
      <c r="AA196" s="116">
        <f t="shared" si="149"/>
        <v>0</v>
      </c>
      <c r="AB196" s="116">
        <f t="shared" si="150"/>
        <v>22504.316095074952</v>
      </c>
      <c r="AC196" s="116">
        <f t="shared" si="151"/>
        <v>71840.298703689623</v>
      </c>
      <c r="AD196" s="1240">
        <f t="shared" si="152"/>
        <v>3745.6593619306623</v>
      </c>
      <c r="AE196" s="579">
        <f t="shared" si="153"/>
        <v>0.43670289132817558</v>
      </c>
      <c r="AF196" s="100">
        <f t="shared" si="154"/>
        <v>0.19253483010016159</v>
      </c>
      <c r="AG196" s="100">
        <f t="shared" si="155"/>
        <v>5.7507510688589294E-2</v>
      </c>
      <c r="AH196" s="100">
        <f t="shared" si="167"/>
        <v>0</v>
      </c>
      <c r="AI196" s="100">
        <f t="shared" si="156"/>
        <v>0.31325476788307338</v>
      </c>
      <c r="AJ196" s="471">
        <f t="shared" si="157"/>
        <v>0.99999999999999978</v>
      </c>
      <c r="AK196" s="1250">
        <f t="shared" si="158"/>
        <v>31372.866157781045</v>
      </c>
      <c r="AL196" s="1251">
        <f t="shared" si="159"/>
        <v>0</v>
      </c>
      <c r="AM196" s="1251">
        <f t="shared" si="160"/>
        <v>0</v>
      </c>
      <c r="AN196" s="1251">
        <f t="shared" si="161"/>
        <v>31372.866157781045</v>
      </c>
      <c r="AO196" s="1022">
        <f t="shared" si="162"/>
        <v>0</v>
      </c>
    </row>
    <row r="197" spans="1:41">
      <c r="A197" s="89">
        <f>'Input data'!A137</f>
        <v>2037</v>
      </c>
      <c r="B197" s="152">
        <f>'Input data'!B137</f>
        <v>69.830333629884052</v>
      </c>
      <c r="C197" s="204">
        <f>'Input data'!C137</f>
        <v>6413.8831516087803</v>
      </c>
      <c r="D197" s="474">
        <f>'Input data'!E137</f>
        <v>38325122.85038393</v>
      </c>
      <c r="E197" s="473">
        <f>'Input data'!J137*C197</f>
        <v>77165.720842053837</v>
      </c>
      <c r="F197" s="474">
        <f>'Input data'!L137</f>
        <v>115490.84369243777</v>
      </c>
      <c r="G197" s="474">
        <f t="shared" si="171"/>
        <v>26659.179724825448</v>
      </c>
      <c r="H197" s="474">
        <f t="shared" si="135"/>
        <v>53585.358501734867</v>
      </c>
      <c r="I197" s="475">
        <f t="shared" si="138"/>
        <v>38325.12285038393</v>
      </c>
      <c r="J197" s="100">
        <f t="shared" si="170"/>
        <v>0.2</v>
      </c>
      <c r="K197" s="474">
        <f t="shared" si="164"/>
        <v>5306.1999272537269</v>
      </c>
      <c r="L197" s="474">
        <f t="shared" si="140"/>
        <v>0</v>
      </c>
      <c r="M197" s="475">
        <f t="shared" si="165"/>
        <v>5306.1999272537269</v>
      </c>
      <c r="N197" s="579">
        <f t="shared" si="169"/>
        <v>0.5</v>
      </c>
      <c r="O197" s="475">
        <f t="shared" si="141"/>
        <v>751.91700000000026</v>
      </c>
      <c r="P197" s="1234">
        <f t="shared" si="168"/>
        <v>6058.1169272537272</v>
      </c>
      <c r="Q197" s="467">
        <f t="shared" si="142"/>
        <v>74186.421299306588</v>
      </c>
      <c r="R197" s="467">
        <f t="shared" si="166"/>
        <v>47527.241574481144</v>
      </c>
      <c r="S197" s="518">
        <f t="shared" si="143"/>
        <v>1.0919195162369972</v>
      </c>
      <c r="T197" s="118" t="str">
        <f t="shared" si="144"/>
        <v>No</v>
      </c>
      <c r="U197" s="938">
        <f t="shared" si="145"/>
        <v>1</v>
      </c>
      <c r="V197" s="1247">
        <f t="shared" si="136"/>
        <v>71964.520673438325</v>
      </c>
      <c r="W197" s="1244">
        <f t="shared" si="137"/>
        <v>0.37688115895069452</v>
      </c>
      <c r="X197" s="473">
        <f t="shared" si="146"/>
        <v>30660.098280307146</v>
      </c>
      <c r="Y197" s="474">
        <f t="shared" si="147"/>
        <v>13844.31205993808</v>
      </c>
      <c r="Z197" s="116">
        <f t="shared" si="148"/>
        <v>4238.9971068567629</v>
      </c>
      <c r="AA197" s="116">
        <f t="shared" si="149"/>
        <v>0</v>
      </c>
      <c r="AB197" s="116">
        <f t="shared" si="150"/>
        <v>23221.113226336343</v>
      </c>
      <c r="AC197" s="116">
        <f t="shared" si="151"/>
        <v>71964.520673438325</v>
      </c>
      <c r="AD197" s="1240">
        <f t="shared" si="152"/>
        <v>4000.9185554816977</v>
      </c>
      <c r="AE197" s="579">
        <f t="shared" si="153"/>
        <v>0.42604463968344897</v>
      </c>
      <c r="AF197" s="100">
        <f t="shared" si="154"/>
        <v>0.19237690921003983</v>
      </c>
      <c r="AG197" s="100">
        <f t="shared" si="155"/>
        <v>5.8903985841753152E-2</v>
      </c>
      <c r="AH197" s="100">
        <f t="shared" si="167"/>
        <v>0</v>
      </c>
      <c r="AI197" s="100">
        <f t="shared" si="156"/>
        <v>0.32267446526475813</v>
      </c>
      <c r="AJ197" s="471">
        <f t="shared" si="157"/>
        <v>1</v>
      </c>
      <c r="AK197" s="1250">
        <f t="shared" si="158"/>
        <v>30660.098280307146</v>
      </c>
      <c r="AL197" s="1251">
        <f t="shared" si="159"/>
        <v>0</v>
      </c>
      <c r="AM197" s="1251">
        <f t="shared" si="160"/>
        <v>0</v>
      </c>
      <c r="AN197" s="1251">
        <f t="shared" si="161"/>
        <v>30660.098280307146</v>
      </c>
      <c r="AO197" s="1022">
        <f t="shared" si="162"/>
        <v>0</v>
      </c>
    </row>
    <row r="198" spans="1:41">
      <c r="A198" s="89">
        <f>'Input data'!A138</f>
        <v>2038</v>
      </c>
      <c r="B198" s="152">
        <f>'Input data'!B138</f>
        <v>70.341572426693446</v>
      </c>
      <c r="C198" s="204">
        <f>'Input data'!C138</f>
        <v>6601.8179471225203</v>
      </c>
      <c r="D198" s="474">
        <f>'Input data'!E138</f>
        <v>36655559.518641047</v>
      </c>
      <c r="E198" s="473">
        <f>'Input data'!J138*C198</f>
        <v>79426.772941745454</v>
      </c>
      <c r="F198" s="474">
        <f>'Input data'!L138</f>
        <v>116082.3324603865</v>
      </c>
      <c r="G198" s="474">
        <f t="shared" si="171"/>
        <v>25725.071262263602</v>
      </c>
      <c r="H198" s="474">
        <f t="shared" si="135"/>
        <v>54250.069272968962</v>
      </c>
      <c r="I198" s="475">
        <f t="shared" si="138"/>
        <v>36655.55951864105</v>
      </c>
      <c r="J198" s="100">
        <f t="shared" si="170"/>
        <v>0.2</v>
      </c>
      <c r="K198" s="474">
        <f t="shared" si="164"/>
        <v>5075.0451084153374</v>
      </c>
      <c r="L198" s="474">
        <f t="shared" si="140"/>
        <v>0</v>
      </c>
      <c r="M198" s="475">
        <f t="shared" si="165"/>
        <v>5075.0451084153374</v>
      </c>
      <c r="N198" s="579">
        <f t="shared" si="169"/>
        <v>0.5</v>
      </c>
      <c r="O198" s="475">
        <f t="shared" si="141"/>
        <v>751.91700000000026</v>
      </c>
      <c r="P198" s="1234">
        <f t="shared" si="168"/>
        <v>5826.9621084153378</v>
      </c>
      <c r="Q198" s="467">
        <f t="shared" si="142"/>
        <v>74148.178426817234</v>
      </c>
      <c r="R198" s="467">
        <f t="shared" si="166"/>
        <v>48423.107164553629</v>
      </c>
      <c r="S198" s="518">
        <f t="shared" si="143"/>
        <v>1.080300686432226</v>
      </c>
      <c r="T198" s="118" t="str">
        <f t="shared" si="144"/>
        <v>No</v>
      </c>
      <c r="U198" s="938">
        <f t="shared" si="145"/>
        <v>1</v>
      </c>
      <c r="V198" s="1247">
        <f t="shared" si="136"/>
        <v>71258.601648482116</v>
      </c>
      <c r="W198" s="1244">
        <f t="shared" si="137"/>
        <v>0.38613740663076912</v>
      </c>
      <c r="X198" s="473">
        <f t="shared" si="146"/>
        <v>29324.447614912842</v>
      </c>
      <c r="Y198" s="474">
        <f t="shared" si="147"/>
        <v>13691.460242902982</v>
      </c>
      <c r="Z198" s="116">
        <f t="shared" si="148"/>
        <v>4341.1729138260207</v>
      </c>
      <c r="AA198" s="116">
        <f t="shared" si="149"/>
        <v>0</v>
      </c>
      <c r="AB198" s="116">
        <f t="shared" si="150"/>
        <v>23901.520876840281</v>
      </c>
      <c r="AC198" s="116">
        <f t="shared" si="151"/>
        <v>71258.601648482116</v>
      </c>
      <c r="AD198" s="1240">
        <f t="shared" si="152"/>
        <v>3599.3763526492403</v>
      </c>
      <c r="AE198" s="579">
        <f t="shared" si="153"/>
        <v>0.41152151370539114</v>
      </c>
      <c r="AF198" s="100">
        <f t="shared" si="154"/>
        <v>0.19213764971761307</v>
      </c>
      <c r="AG198" s="100">
        <f t="shared" si="155"/>
        <v>6.0921387922274674E-2</v>
      </c>
      <c r="AH198" s="100">
        <f t="shared" si="167"/>
        <v>0</v>
      </c>
      <c r="AI198" s="100">
        <f t="shared" si="156"/>
        <v>0.33541944865472123</v>
      </c>
      <c r="AJ198" s="471">
        <f t="shared" si="157"/>
        <v>1</v>
      </c>
      <c r="AK198" s="1250">
        <f t="shared" si="158"/>
        <v>29324.447614912839</v>
      </c>
      <c r="AL198" s="1251">
        <f t="shared" si="159"/>
        <v>0</v>
      </c>
      <c r="AM198" s="1251">
        <f t="shared" si="160"/>
        <v>0</v>
      </c>
      <c r="AN198" s="1251">
        <f t="shared" si="161"/>
        <v>29324.447614912839</v>
      </c>
      <c r="AO198" s="1022">
        <f t="shared" si="162"/>
        <v>0</v>
      </c>
    </row>
    <row r="199" spans="1:41">
      <c r="A199" s="89">
        <f>'Input data'!A139</f>
        <v>2039</v>
      </c>
      <c r="B199" s="152">
        <f>'Input data'!B139</f>
        <v>70.856554082712819</v>
      </c>
      <c r="C199" s="204">
        <f>'Input data'!C139</f>
        <v>6791.0078131349956</v>
      </c>
      <c r="D199" s="474">
        <f>'Input data'!E139</f>
        <v>34985996.186898179</v>
      </c>
      <c r="E199" s="473">
        <f>'Input data'!J139*C199</f>
        <v>81702.924851872231</v>
      </c>
      <c r="F199" s="474">
        <f>'Input data'!L139</f>
        <v>116688.92103877041</v>
      </c>
      <c r="G199" s="474">
        <f t="shared" si="171"/>
        <v>24823.692937269236</v>
      </c>
      <c r="H199" s="474">
        <f t="shared" si="135"/>
        <v>54890.714285369992</v>
      </c>
      <c r="I199" s="475">
        <f t="shared" si="138"/>
        <v>34985.996186898177</v>
      </c>
      <c r="J199" s="100">
        <f t="shared" si="170"/>
        <v>0.2</v>
      </c>
      <c r="K199" s="474">
        <f t="shared" si="164"/>
        <v>4843.890289576947</v>
      </c>
      <c r="L199" s="474">
        <f t="shared" si="140"/>
        <v>0</v>
      </c>
      <c r="M199" s="475">
        <f t="shared" si="165"/>
        <v>4843.890289576947</v>
      </c>
      <c r="N199" s="579">
        <f t="shared" si="169"/>
        <v>0.5</v>
      </c>
      <c r="O199" s="475">
        <f t="shared" si="141"/>
        <v>751.91700000000026</v>
      </c>
      <c r="P199" s="1234">
        <f t="shared" si="168"/>
        <v>5595.8072895769474</v>
      </c>
      <c r="Q199" s="467">
        <f t="shared" si="142"/>
        <v>74118.599933062287</v>
      </c>
      <c r="R199" s="467">
        <f t="shared" si="166"/>
        <v>49294.906995793048</v>
      </c>
      <c r="S199" s="518">
        <f t="shared" si="143"/>
        <v>1.0686129965345486</v>
      </c>
      <c r="T199" s="118" t="str">
        <f t="shared" si="144"/>
        <v>No</v>
      </c>
      <c r="U199" s="938">
        <f t="shared" si="145"/>
        <v>1</v>
      </c>
      <c r="V199" s="1247">
        <f t="shared" si="136"/>
        <v>70559.118055226674</v>
      </c>
      <c r="W199" s="1244">
        <f t="shared" si="137"/>
        <v>0.39532290274769877</v>
      </c>
      <c r="X199" s="473">
        <f t="shared" si="146"/>
        <v>27988.796949518543</v>
      </c>
      <c r="Y199" s="474">
        <f t="shared" si="147"/>
        <v>13539.817590620098</v>
      </c>
      <c r="Z199" s="116">
        <f t="shared" si="148"/>
        <v>4444.0310736329275</v>
      </c>
      <c r="AA199" s="116">
        <f t="shared" si="149"/>
        <v>0</v>
      </c>
      <c r="AB199" s="116">
        <f t="shared" si="150"/>
        <v>24586.472441455106</v>
      </c>
      <c r="AC199" s="116">
        <f t="shared" si="151"/>
        <v>70559.118055226674</v>
      </c>
      <c r="AD199" s="1240">
        <f t="shared" si="152"/>
        <v>3165.1040122493068</v>
      </c>
      <c r="AE199" s="579">
        <f t="shared" si="153"/>
        <v>0.39667158151851745</v>
      </c>
      <c r="AF199" s="100">
        <f t="shared" si="154"/>
        <v>0.19189323738460665</v>
      </c>
      <c r="AG199" s="100">
        <f t="shared" si="155"/>
        <v>6.2983087035676677E-2</v>
      </c>
      <c r="AH199" s="100">
        <f t="shared" si="167"/>
        <v>0</v>
      </c>
      <c r="AI199" s="100">
        <f t="shared" si="156"/>
        <v>0.3484520940611992</v>
      </c>
      <c r="AJ199" s="471">
        <f t="shared" si="157"/>
        <v>1</v>
      </c>
      <c r="AK199" s="1250">
        <f t="shared" si="158"/>
        <v>27988.796949518543</v>
      </c>
      <c r="AL199" s="1251">
        <f t="shared" si="159"/>
        <v>0</v>
      </c>
      <c r="AM199" s="1251">
        <f t="shared" si="160"/>
        <v>0</v>
      </c>
      <c r="AN199" s="1251">
        <f t="shared" si="161"/>
        <v>27988.796949518543</v>
      </c>
      <c r="AO199" s="1022">
        <f t="shared" si="162"/>
        <v>0</v>
      </c>
    </row>
    <row r="200" spans="1:41">
      <c r="A200" s="89">
        <f>'Input data'!A140</f>
        <v>2040</v>
      </c>
      <c r="B200" s="152">
        <f>'Input data'!B140</f>
        <v>71.375305999999995</v>
      </c>
      <c r="C200" s="204">
        <f>'Input data'!C140</f>
        <v>6984.5262976576987</v>
      </c>
      <c r="D200" s="474">
        <f>'Input data'!E140</f>
        <v>33316432.855155304</v>
      </c>
      <c r="E200" s="473">
        <f>'Input data'!J140*C200</f>
        <v>84031.154568796614</v>
      </c>
      <c r="F200" s="474">
        <f>'Input data'!L140</f>
        <v>117347.58742395192</v>
      </c>
      <c r="G200" s="474">
        <f>G177*(1-$C$5)</f>
        <v>23953.89792166539</v>
      </c>
      <c r="H200" s="474">
        <f t="shared" si="135"/>
        <v>55529.658604701392</v>
      </c>
      <c r="I200" s="475">
        <f t="shared" si="138"/>
        <v>33316.432855155304</v>
      </c>
      <c r="J200" s="100">
        <f t="shared" si="170"/>
        <v>0.2</v>
      </c>
      <c r="K200" s="474">
        <f t="shared" si="164"/>
        <v>4612.7354707385584</v>
      </c>
      <c r="L200" s="474">
        <f t="shared" si="140"/>
        <v>0</v>
      </c>
      <c r="M200" s="475">
        <f t="shared" si="165"/>
        <v>4612.7354707385584</v>
      </c>
      <c r="N200" s="579">
        <f t="shared" si="169"/>
        <v>0.5</v>
      </c>
      <c r="O200" s="475">
        <f t="shared" si="141"/>
        <v>751.91700000000026</v>
      </c>
      <c r="P200" s="1234">
        <f t="shared" si="168"/>
        <v>5364.6524707385588</v>
      </c>
      <c r="Q200" s="467">
        <f t="shared" si="142"/>
        <v>74118.904055628227</v>
      </c>
      <c r="R200" s="467">
        <f t="shared" si="166"/>
        <v>50165.006133962837</v>
      </c>
      <c r="S200" s="518">
        <f t="shared" si="143"/>
        <v>1.0568672763100677</v>
      </c>
      <c r="T200" s="118" t="str">
        <f t="shared" si="144"/>
        <v>No</v>
      </c>
      <c r="U200" s="938">
        <f t="shared" si="145"/>
        <v>1</v>
      </c>
      <c r="V200" s="1247">
        <f t="shared" si="136"/>
        <v>69881.829652447952</v>
      </c>
      <c r="W200" s="1244">
        <f t="shared" si="137"/>
        <v>0.4044885695009669</v>
      </c>
      <c r="X200" s="473">
        <f t="shared" si="146"/>
        <v>26653.146284124246</v>
      </c>
      <c r="Y200" s="474">
        <f t="shared" si="147"/>
        <v>13392.345232303656</v>
      </c>
      <c r="Z200" s="116">
        <f t="shared" si="148"/>
        <v>4549.242603331425</v>
      </c>
      <c r="AA200" s="116">
        <f t="shared" si="149"/>
        <v>0</v>
      </c>
      <c r="AB200" s="116">
        <f t="shared" si="150"/>
        <v>25287.095532688621</v>
      </c>
      <c r="AC200" s="116">
        <f t="shared" si="151"/>
        <v>69881.829652447952</v>
      </c>
      <c r="AD200" s="1240">
        <f t="shared" si="152"/>
        <v>2699.2483624588567</v>
      </c>
      <c r="AE200" s="579">
        <f t="shared" si="153"/>
        <v>0.38140309743865713</v>
      </c>
      <c r="AF200" s="100">
        <f t="shared" si="154"/>
        <v>0.1916427388766076</v>
      </c>
      <c r="AG200" s="100">
        <f t="shared" si="155"/>
        <v>6.5099076912507048E-2</v>
      </c>
      <c r="AH200" s="100">
        <f t="shared" si="167"/>
        <v>0</v>
      </c>
      <c r="AI200" s="100">
        <f t="shared" si="156"/>
        <v>0.36185508677222816</v>
      </c>
      <c r="AJ200" s="471">
        <f t="shared" si="157"/>
        <v>1</v>
      </c>
      <c r="AK200" s="1250">
        <f t="shared" si="158"/>
        <v>26653.146284124239</v>
      </c>
      <c r="AL200" s="1251">
        <f t="shared" si="159"/>
        <v>0</v>
      </c>
      <c r="AM200" s="1251">
        <f t="shared" si="160"/>
        <v>0</v>
      </c>
      <c r="AN200" s="1251">
        <f t="shared" si="161"/>
        <v>26653.146284124239</v>
      </c>
      <c r="AO200" s="1022">
        <f t="shared" si="162"/>
        <v>0</v>
      </c>
    </row>
    <row r="201" spans="1:41">
      <c r="A201" s="89">
        <f>'Input data'!A141</f>
        <v>2041</v>
      </c>
      <c r="B201" s="152">
        <f>'Input data'!B141</f>
        <v>71.818612994947316</v>
      </c>
      <c r="C201" s="204">
        <f>'Input data'!C141</f>
        <v>7185.3982187188903</v>
      </c>
      <c r="D201" s="474">
        <f>'Input data'!E141</f>
        <v>30696987.018642712</v>
      </c>
      <c r="E201" s="473">
        <f>'Input data'!J141*C201</f>
        <v>86447.853816229443</v>
      </c>
      <c r="F201" s="474">
        <f>'Input data'!L141</f>
        <v>117144.84083487216</v>
      </c>
      <c r="G201" s="474">
        <f>$G$160*(1+((($G$170/$G$160)^(1/($A$170-$A$160)))-1))^(A201-$A$160)</f>
        <v>22650.218174049241</v>
      </c>
      <c r="H201" s="474">
        <f t="shared" si="135"/>
        <v>55761.832717860831</v>
      </c>
      <c r="I201" s="475">
        <f t="shared" si="138"/>
        <v>30696.987018642711</v>
      </c>
      <c r="J201" s="100">
        <f t="shared" si="170"/>
        <v>0.2</v>
      </c>
      <c r="K201" s="474">
        <f t="shared" si="164"/>
        <v>4250.0672710459121</v>
      </c>
      <c r="L201" s="474">
        <f t="shared" si="140"/>
        <v>0</v>
      </c>
      <c r="M201" s="475">
        <f t="shared" si="165"/>
        <v>4250.0672710459121</v>
      </c>
      <c r="N201" s="579">
        <f t="shared" si="169"/>
        <v>0.5</v>
      </c>
      <c r="O201" s="475">
        <f t="shared" si="141"/>
        <v>751.91700000000026</v>
      </c>
      <c r="P201" s="1234">
        <f t="shared" si="168"/>
        <v>5001.9842710459125</v>
      </c>
      <c r="Q201" s="467">
        <f t="shared" si="142"/>
        <v>73410.066620864149</v>
      </c>
      <c r="R201" s="467">
        <f t="shared" si="166"/>
        <v>50759.848446814911</v>
      </c>
      <c r="S201" s="518">
        <f t="shared" si="143"/>
        <v>1.0390434949825087</v>
      </c>
      <c r="T201" s="118" t="str">
        <f t="shared" si="144"/>
        <v>No</v>
      </c>
      <c r="U201" s="938">
        <f t="shared" si="145"/>
        <v>1</v>
      </c>
      <c r="V201" s="1247">
        <f t="shared" si="136"/>
        <v>68292.363828922185</v>
      </c>
      <c r="W201" s="1244">
        <f t="shared" si="137"/>
        <v>0.41702627838995165</v>
      </c>
      <c r="X201" s="473">
        <f t="shared" si="146"/>
        <v>24557.58961491417</v>
      </c>
      <c r="Y201" s="474">
        <f t="shared" si="147"/>
        <v>13061.980848589763</v>
      </c>
      <c r="Z201" s="116">
        <f t="shared" si="148"/>
        <v>4658.452026609255</v>
      </c>
      <c r="AA201" s="116">
        <f t="shared" si="149"/>
        <v>0</v>
      </c>
      <c r="AB201" s="116">
        <f t="shared" si="150"/>
        <v>26014.341338808998</v>
      </c>
      <c r="AC201" s="116">
        <f t="shared" si="151"/>
        <v>68292.363828922185</v>
      </c>
      <c r="AD201" s="1240">
        <f t="shared" si="152"/>
        <v>1907.3714408649284</v>
      </c>
      <c r="AE201" s="579">
        <f t="shared" si="153"/>
        <v>0.359594956713358</v>
      </c>
      <c r="AF201" s="100">
        <f t="shared" si="154"/>
        <v>0.19126561325818309</v>
      </c>
      <c r="AG201" s="100">
        <f t="shared" si="155"/>
        <v>6.8213366259792213E-2</v>
      </c>
      <c r="AH201" s="100">
        <f t="shared" si="167"/>
        <v>0</v>
      </c>
      <c r="AI201" s="100">
        <f t="shared" si="156"/>
        <v>0.38092606376866667</v>
      </c>
      <c r="AJ201" s="471">
        <f t="shared" si="157"/>
        <v>1</v>
      </c>
      <c r="AK201" s="1250">
        <f t="shared" si="158"/>
        <v>24557.58961491417</v>
      </c>
      <c r="AL201" s="1251">
        <f t="shared" si="159"/>
        <v>0</v>
      </c>
      <c r="AM201" s="1251">
        <f t="shared" si="160"/>
        <v>0</v>
      </c>
      <c r="AN201" s="1251">
        <f t="shared" si="161"/>
        <v>24557.58961491417</v>
      </c>
      <c r="AO201" s="1022">
        <f t="shared" si="162"/>
        <v>0</v>
      </c>
    </row>
    <row r="202" spans="1:41">
      <c r="A202" s="89">
        <f>'Input data'!A142</f>
        <v>2042</v>
      </c>
      <c r="B202" s="152">
        <f>'Input data'!B142</f>
        <v>72.264673338395411</v>
      </c>
      <c r="C202" s="204">
        <f>'Input data'!C142</f>
        <v>7378.5415978844649</v>
      </c>
      <c r="D202" s="474">
        <f>'Input data'!E142</f>
        <v>28077541.182130113</v>
      </c>
      <c r="E202" s="473">
        <f>'Input data'!J142*C202</f>
        <v>88771.570623487351</v>
      </c>
      <c r="F202" s="474">
        <f>'Input data'!L142</f>
        <v>116849.11180561746</v>
      </c>
      <c r="G202" s="474">
        <f t="shared" ref="G202:G209" si="172">$G$160*(1+((($G$170/$G$160)^(1/($A$170-$A$160)))-1))^(A202-$A$160)</f>
        <v>21417.490590039302</v>
      </c>
      <c r="H202" s="474">
        <f t="shared" si="135"/>
        <v>55869.700681230897</v>
      </c>
      <c r="I202" s="475">
        <f t="shared" si="138"/>
        <v>28077.541182130113</v>
      </c>
      <c r="J202" s="100">
        <f t="shared" si="170"/>
        <v>0.2</v>
      </c>
      <c r="K202" s="474">
        <f t="shared" si="164"/>
        <v>3887.3990713532667</v>
      </c>
      <c r="L202" s="474">
        <f t="shared" si="140"/>
        <v>0</v>
      </c>
      <c r="M202" s="475">
        <f t="shared" si="165"/>
        <v>3887.3990713532667</v>
      </c>
      <c r="N202" s="579">
        <f t="shared" si="169"/>
        <v>0.5</v>
      </c>
      <c r="O202" s="475">
        <f t="shared" si="141"/>
        <v>751.91700000000026</v>
      </c>
      <c r="P202" s="1234">
        <f t="shared" si="168"/>
        <v>4639.316071353267</v>
      </c>
      <c r="Q202" s="467">
        <f t="shared" si="142"/>
        <v>72647.875199916933</v>
      </c>
      <c r="R202" s="467">
        <f t="shared" si="166"/>
        <v>51230.384609877627</v>
      </c>
      <c r="S202" s="518">
        <f t="shared" si="143"/>
        <v>1.0208134866079108</v>
      </c>
      <c r="T202" s="118" t="str">
        <f t="shared" si="144"/>
        <v>No</v>
      </c>
      <c r="U202" s="938">
        <f t="shared" si="145"/>
        <v>1</v>
      </c>
      <c r="V202" s="1247">
        <f t="shared" si="136"/>
        <v>66663.269551404635</v>
      </c>
      <c r="W202" s="1244">
        <f t="shared" si="137"/>
        <v>0.42949271482438578</v>
      </c>
      <c r="X202" s="473">
        <f t="shared" si="146"/>
        <v>22462.032945704093</v>
      </c>
      <c r="Y202" s="474">
        <f t="shared" si="147"/>
        <v>12724.170603901857</v>
      </c>
      <c r="Z202" s="116">
        <f t="shared" si="148"/>
        <v>4763.4596201901322</v>
      </c>
      <c r="AA202" s="116">
        <f t="shared" si="149"/>
        <v>0</v>
      </c>
      <c r="AB202" s="116">
        <f t="shared" si="150"/>
        <v>26713.606381608544</v>
      </c>
      <c r="AC202" s="116">
        <f t="shared" si="151"/>
        <v>66663.269551404635</v>
      </c>
      <c r="AD202" s="1240">
        <f t="shared" si="152"/>
        <v>1044.5423556647911</v>
      </c>
      <c r="AE202" s="579">
        <f t="shared" si="153"/>
        <v>0.33694766393633635</v>
      </c>
      <c r="AF202" s="100">
        <f t="shared" si="154"/>
        <v>0.1908722852858295</v>
      </c>
      <c r="AG202" s="100">
        <f t="shared" si="155"/>
        <v>7.1455535443202142E-2</v>
      </c>
      <c r="AH202" s="100">
        <f t="shared" si="167"/>
        <v>0</v>
      </c>
      <c r="AI202" s="100">
        <f t="shared" si="156"/>
        <v>0.40072451533463188</v>
      </c>
      <c r="AJ202" s="471">
        <f t="shared" si="157"/>
        <v>0.99999999999999978</v>
      </c>
      <c r="AK202" s="1250">
        <f t="shared" si="158"/>
        <v>22462.03294570409</v>
      </c>
      <c r="AL202" s="1251">
        <f t="shared" si="159"/>
        <v>0</v>
      </c>
      <c r="AM202" s="1251">
        <f t="shared" si="160"/>
        <v>0</v>
      </c>
      <c r="AN202" s="1251">
        <f t="shared" si="161"/>
        <v>22462.03294570409</v>
      </c>
      <c r="AO202" s="1022">
        <f t="shared" si="162"/>
        <v>0</v>
      </c>
    </row>
    <row r="203" spans="1:41">
      <c r="A203" s="89">
        <f>'Input data'!A143</f>
        <v>2043</v>
      </c>
      <c r="B203" s="152">
        <f>'Input data'!B143</f>
        <v>72.713504131197794</v>
      </c>
      <c r="C203" s="204">
        <f>'Input data'!C143</f>
        <v>7577.166622606117</v>
      </c>
      <c r="D203" s="474">
        <f>'Input data'!E143</f>
        <v>25458095.345617522</v>
      </c>
      <c r="E203" s="473">
        <f>'Input data'!J143*C203</f>
        <v>91161.237358540457</v>
      </c>
      <c r="F203" s="474">
        <f>'Input data'!L143</f>
        <v>116619.33270415798</v>
      </c>
      <c r="G203" s="474">
        <f t="shared" si="172"/>
        <v>20251.853631148377</v>
      </c>
      <c r="H203" s="474">
        <f t="shared" si="135"/>
        <v>55948.320557597181</v>
      </c>
      <c r="I203" s="475">
        <f t="shared" si="138"/>
        <v>25458.095345617523</v>
      </c>
      <c r="J203" s="100">
        <f t="shared" si="170"/>
        <v>0.2</v>
      </c>
      <c r="K203" s="474">
        <f t="shared" si="164"/>
        <v>3524.7308716606217</v>
      </c>
      <c r="L203" s="474">
        <f t="shared" si="140"/>
        <v>0</v>
      </c>
      <c r="M203" s="475">
        <f t="shared" si="165"/>
        <v>3524.7308716606217</v>
      </c>
      <c r="N203" s="579">
        <f t="shared" si="169"/>
        <v>0.5</v>
      </c>
      <c r="O203" s="475">
        <f t="shared" si="141"/>
        <v>751.91700000000026</v>
      </c>
      <c r="P203" s="1234">
        <f t="shared" si="168"/>
        <v>4276.6478716606216</v>
      </c>
      <c r="Q203" s="467">
        <f t="shared" si="142"/>
        <v>71923.526317084936</v>
      </c>
      <c r="R203" s="467">
        <f t="shared" si="166"/>
        <v>51671.672685936559</v>
      </c>
      <c r="S203" s="518">
        <f t="shared" si="143"/>
        <v>1.0022232196228333</v>
      </c>
      <c r="T203" s="118" t="str">
        <f t="shared" si="144"/>
        <v>No</v>
      </c>
      <c r="U203" s="938">
        <f t="shared" si="145"/>
        <v>1</v>
      </c>
      <c r="V203" s="1247">
        <f t="shared" si="136"/>
        <v>65062.282663567079</v>
      </c>
      <c r="W203" s="1244">
        <f t="shared" si="137"/>
        <v>0.44209693920459781</v>
      </c>
      <c r="X203" s="473">
        <f t="shared" si="146"/>
        <v>20366.476276494021</v>
      </c>
      <c r="Y203" s="474">
        <f t="shared" si="147"/>
        <v>12391.641506844466</v>
      </c>
      <c r="Z203" s="116">
        <f t="shared" si="148"/>
        <v>4871.4474578321506</v>
      </c>
      <c r="AA203" s="116">
        <f t="shared" si="149"/>
        <v>0</v>
      </c>
      <c r="AB203" s="116">
        <f t="shared" si="150"/>
        <v>27432.717422396443</v>
      </c>
      <c r="AC203" s="116">
        <f t="shared" si="151"/>
        <v>65062.282663567079</v>
      </c>
      <c r="AD203" s="1240">
        <f t="shared" si="152"/>
        <v>114.62264534564383</v>
      </c>
      <c r="AE203" s="579">
        <f t="shared" si="153"/>
        <v>0.31303046008711027</v>
      </c>
      <c r="AF203" s="100">
        <f t="shared" si="154"/>
        <v>0.19045814256042715</v>
      </c>
      <c r="AG203" s="100">
        <f t="shared" si="155"/>
        <v>7.4873602007204318E-2</v>
      </c>
      <c r="AH203" s="100">
        <f t="shared" si="167"/>
        <v>0</v>
      </c>
      <c r="AI203" s="100">
        <f t="shared" si="156"/>
        <v>0.4216377953452583</v>
      </c>
      <c r="AJ203" s="471">
        <f t="shared" si="157"/>
        <v>1</v>
      </c>
      <c r="AK203" s="1250">
        <f t="shared" si="158"/>
        <v>20366.476276494021</v>
      </c>
      <c r="AL203" s="1251">
        <f t="shared" si="159"/>
        <v>0</v>
      </c>
      <c r="AM203" s="1251">
        <f t="shared" si="160"/>
        <v>0</v>
      </c>
      <c r="AN203" s="1251">
        <f t="shared" si="161"/>
        <v>20366.476276494021</v>
      </c>
      <c r="AO203" s="1022">
        <f t="shared" si="162"/>
        <v>0</v>
      </c>
    </row>
    <row r="204" spans="1:41">
      <c r="A204" s="89">
        <f>'Input data'!A144</f>
        <v>2044</v>
      </c>
      <c r="B204" s="152">
        <f>'Input data'!B144</f>
        <v>73.165122580420132</v>
      </c>
      <c r="C204" s="204">
        <f>'Input data'!C144</f>
        <v>7783.6023406905715</v>
      </c>
      <c r="D204" s="474">
        <f>'Input data'!E144</f>
        <v>22838649.509104934</v>
      </c>
      <c r="E204" s="473">
        <f>'Input data'!J144*C204</f>
        <v>93644.874901818475</v>
      </c>
      <c r="F204" s="474">
        <f>'Input data'!L144</f>
        <v>116483.5244109234</v>
      </c>
      <c r="G204" s="474">
        <f t="shared" si="172"/>
        <v>19149.655921324487</v>
      </c>
      <c r="H204" s="474">
        <f t="shared" si="135"/>
        <v>56017.422303703541</v>
      </c>
      <c r="I204" s="475">
        <f t="shared" si="138"/>
        <v>22838.649509104933</v>
      </c>
      <c r="J204" s="100">
        <f t="shared" si="170"/>
        <v>0.2</v>
      </c>
      <c r="K204" s="474">
        <f t="shared" si="164"/>
        <v>3162.0626719679767</v>
      </c>
      <c r="L204" s="474">
        <f t="shared" si="140"/>
        <v>0</v>
      </c>
      <c r="M204" s="475">
        <f t="shared" si="165"/>
        <v>3162.0626719679767</v>
      </c>
      <c r="N204" s="579">
        <f t="shared" si="169"/>
        <v>0.5</v>
      </c>
      <c r="O204" s="475">
        <f t="shared" si="141"/>
        <v>751.91700000000026</v>
      </c>
      <c r="P204" s="1234">
        <f t="shared" si="168"/>
        <v>3913.9796719679771</v>
      </c>
      <c r="Q204" s="467">
        <f t="shared" si="142"/>
        <v>71253.098553060059</v>
      </c>
      <c r="R204" s="467">
        <f t="shared" si="166"/>
        <v>52103.442631735568</v>
      </c>
      <c r="S204" s="518">
        <f t="shared" si="143"/>
        <v>0.98341449273085058</v>
      </c>
      <c r="T204" s="118" t="str">
        <f t="shared" si="144"/>
        <v>Yes</v>
      </c>
      <c r="U204" s="938">
        <f t="shared" si="145"/>
        <v>0.98341449273085058</v>
      </c>
      <c r="V204" s="1247">
        <f t="shared" si="136"/>
        <v>64380.081779187865</v>
      </c>
      <c r="W204" s="1244">
        <f t="shared" si="137"/>
        <v>0.44730310913265492</v>
      </c>
      <c r="X204" s="473">
        <f t="shared" si="146"/>
        <v>19149.655921324495</v>
      </c>
      <c r="Y204" s="474">
        <f t="shared" si="147"/>
        <v>12066.637417437363</v>
      </c>
      <c r="Z204" s="116">
        <f t="shared" si="148"/>
        <v>4983.6817890261063</v>
      </c>
      <c r="AA204" s="116">
        <f t="shared" si="149"/>
        <v>0</v>
      </c>
      <c r="AB204" s="116">
        <f t="shared" si="150"/>
        <v>28180.106651399903</v>
      </c>
      <c r="AC204" s="116">
        <f t="shared" si="151"/>
        <v>64380.081779187865</v>
      </c>
      <c r="AD204" s="1240">
        <f t="shared" si="152"/>
        <v>0</v>
      </c>
      <c r="AE204" s="579">
        <f t="shared" si="153"/>
        <v>0.29744690270826901</v>
      </c>
      <c r="AF204" s="100">
        <f t="shared" si="154"/>
        <v>0.18742811571479151</v>
      </c>
      <c r="AG204" s="100">
        <f t="shared" si="155"/>
        <v>7.7410305350639988E-2</v>
      </c>
      <c r="AH204" s="100">
        <f t="shared" si="167"/>
        <v>0</v>
      </c>
      <c r="AI204" s="100">
        <f t="shared" si="156"/>
        <v>0.43771467622629956</v>
      </c>
      <c r="AJ204" s="471">
        <f t="shared" si="157"/>
        <v>1</v>
      </c>
      <c r="AK204" s="1250">
        <f t="shared" si="158"/>
        <v>18270.919607283948</v>
      </c>
      <c r="AL204" s="1251">
        <f t="shared" si="159"/>
        <v>828.93403205042137</v>
      </c>
      <c r="AM204" s="1251">
        <f t="shared" si="160"/>
        <v>49.802281990123582</v>
      </c>
      <c r="AN204" s="1251">
        <f t="shared" si="161"/>
        <v>19149.655921324491</v>
      </c>
      <c r="AO204" s="1022">
        <f t="shared" si="162"/>
        <v>0</v>
      </c>
    </row>
    <row r="205" spans="1:41">
      <c r="A205" s="89">
        <f>'Input data'!A145</f>
        <v>2045</v>
      </c>
      <c r="B205" s="152">
        <f>'Input data'!B145</f>
        <v>73.619545999999971</v>
      </c>
      <c r="C205" s="204">
        <f>'Input data'!C145</f>
        <v>7997.9247065980107</v>
      </c>
      <c r="D205" s="474">
        <f>'Input data'!E145</f>
        <v>20219203.672592338</v>
      </c>
      <c r="E205" s="473">
        <f>'Input data'!J145*C205</f>
        <v>96223.397064897435</v>
      </c>
      <c r="F205" s="474">
        <f>'Input data'!L145</f>
        <v>116442.60073748977</v>
      </c>
      <c r="G205" s="474">
        <f t="shared" si="172"/>
        <v>18107.444808958157</v>
      </c>
      <c r="H205" s="474">
        <f t="shared" si="135"/>
        <v>56080.982922747891</v>
      </c>
      <c r="I205" s="475">
        <f t="shared" si="138"/>
        <v>20219.203672592339</v>
      </c>
      <c r="J205" s="100">
        <f t="shared" si="170"/>
        <v>0.2</v>
      </c>
      <c r="K205" s="474">
        <f t="shared" si="164"/>
        <v>2799.3944722753313</v>
      </c>
      <c r="L205" s="474">
        <f t="shared" si="140"/>
        <v>0</v>
      </c>
      <c r="M205" s="475">
        <f t="shared" si="165"/>
        <v>2799.3944722753313</v>
      </c>
      <c r="N205" s="579">
        <f t="shared" si="169"/>
        <v>0.5</v>
      </c>
      <c r="O205" s="475">
        <f t="shared" si="141"/>
        <v>751.91700000000026</v>
      </c>
      <c r="P205" s="1234">
        <f t="shared" si="168"/>
        <v>3551.3114722753317</v>
      </c>
      <c r="Q205" s="467">
        <f t="shared" si="142"/>
        <v>70637.11625943071</v>
      </c>
      <c r="R205" s="467">
        <f t="shared" si="166"/>
        <v>52529.671450472553</v>
      </c>
      <c r="S205" s="518">
        <f t="shared" si="143"/>
        <v>0.96452406040834104</v>
      </c>
      <c r="T205" s="118" t="str">
        <f t="shared" si="144"/>
        <v>Yes</v>
      </c>
      <c r="U205" s="938">
        <f t="shared" si="145"/>
        <v>0.96452406040834104</v>
      </c>
      <c r="V205" s="1247">
        <f t="shared" si="136"/>
        <v>63912.929287017221</v>
      </c>
      <c r="W205" s="1244">
        <f t="shared" si="137"/>
        <v>0.45112073345816417</v>
      </c>
      <c r="X205" s="473">
        <f t="shared" si="146"/>
        <v>18107.444808958157</v>
      </c>
      <c r="Y205" s="474">
        <f t="shared" si="147"/>
        <v>11749.231512012966</v>
      </c>
      <c r="Z205" s="116">
        <f t="shared" si="148"/>
        <v>5100.203908457429</v>
      </c>
      <c r="AA205" s="116">
        <f t="shared" si="149"/>
        <v>0</v>
      </c>
      <c r="AB205" s="116">
        <f t="shared" si="150"/>
        <v>28956.049057588672</v>
      </c>
      <c r="AC205" s="116">
        <f t="shared" si="151"/>
        <v>63912.929287017221</v>
      </c>
      <c r="AD205" s="1240">
        <f t="shared" si="152"/>
        <v>0</v>
      </c>
      <c r="AE205" s="579">
        <f t="shared" si="153"/>
        <v>0.28331426850492303</v>
      </c>
      <c r="AF205" s="100">
        <f t="shared" si="154"/>
        <v>0.1838318418993137</v>
      </c>
      <c r="AG205" s="100">
        <f t="shared" si="155"/>
        <v>7.9799251346369518E-2</v>
      </c>
      <c r="AH205" s="100">
        <f t="shared" si="167"/>
        <v>0</v>
      </c>
      <c r="AI205" s="100">
        <f t="shared" si="156"/>
        <v>0.45305463824939379</v>
      </c>
      <c r="AJ205" s="471">
        <f t="shared" si="157"/>
        <v>1</v>
      </c>
      <c r="AK205" s="1250">
        <f t="shared" si="158"/>
        <v>16175.362938073869</v>
      </c>
      <c r="AL205" s="1251">
        <f t="shared" si="159"/>
        <v>1821.8884771775511</v>
      </c>
      <c r="AM205" s="1251">
        <f t="shared" si="160"/>
        <v>110.19339370673555</v>
      </c>
      <c r="AN205" s="1251">
        <f t="shared" si="161"/>
        <v>18107.444808958157</v>
      </c>
      <c r="AO205" s="1022">
        <f t="shared" si="162"/>
        <v>0</v>
      </c>
    </row>
    <row r="206" spans="1:41">
      <c r="A206" s="89">
        <f>'Input data'!A146</f>
        <v>2046</v>
      </c>
      <c r="B206" s="152">
        <f>'Input data'!B146</f>
        <v>73.995362001779526</v>
      </c>
      <c r="C206" s="204">
        <f>'Input data'!C146</f>
        <v>8212.8506709212088</v>
      </c>
      <c r="D206" s="474">
        <f>'Input data'!E146</f>
        <v>16217597.669678843</v>
      </c>
      <c r="E206" s="473">
        <f>'Input data'!J146*C206</f>
        <v>98809.181148056668</v>
      </c>
      <c r="F206" s="474">
        <f>'Input data'!L146</f>
        <v>115026.77881773551</v>
      </c>
      <c r="G206" s="474">
        <f t="shared" si="172"/>
        <v>17121.955551397077</v>
      </c>
      <c r="H206" s="474">
        <f t="shared" si="135"/>
        <v>54794.897294649425</v>
      </c>
      <c r="I206" s="475">
        <f t="shared" si="138"/>
        <v>16217.597669678842</v>
      </c>
      <c r="J206" s="100">
        <f t="shared" si="170"/>
        <v>0.2</v>
      </c>
      <c r="K206" s="474">
        <f t="shared" si="164"/>
        <v>2245.3630719207995</v>
      </c>
      <c r="L206" s="474">
        <f t="shared" si="140"/>
        <v>0</v>
      </c>
      <c r="M206" s="475">
        <f t="shared" si="165"/>
        <v>2245.3630719207995</v>
      </c>
      <c r="N206" s="579">
        <f t="shared" si="169"/>
        <v>0.5</v>
      </c>
      <c r="O206" s="475">
        <f t="shared" si="141"/>
        <v>751.91700000000026</v>
      </c>
      <c r="P206" s="1234">
        <f t="shared" si="168"/>
        <v>2997.2800719207999</v>
      </c>
      <c r="Q206" s="467">
        <f t="shared" si="142"/>
        <v>68919.5727741257</v>
      </c>
      <c r="R206" s="467">
        <f t="shared" si="166"/>
        <v>51797.617222728622</v>
      </c>
      <c r="S206" s="518">
        <f t="shared" si="143"/>
        <v>0.92585859786449609</v>
      </c>
      <c r="T206" s="118" t="str">
        <f t="shared" si="144"/>
        <v>Yes</v>
      </c>
      <c r="U206" s="938">
        <f t="shared" si="145"/>
        <v>0.92585859786449609</v>
      </c>
      <c r="V206" s="1247">
        <f t="shared" si="136"/>
        <v>63229.161595006895</v>
      </c>
      <c r="W206" s="1244">
        <f t="shared" si="137"/>
        <v>0.45030920412718844</v>
      </c>
      <c r="X206" s="473">
        <f t="shared" si="146"/>
        <v>17121.955551397081</v>
      </c>
      <c r="Y206" s="474">
        <f t="shared" si="147"/>
        <v>11155.975094370006</v>
      </c>
      <c r="Z206" s="116">
        <f t="shared" si="148"/>
        <v>5217.0541904040911</v>
      </c>
      <c r="AA206" s="116">
        <f t="shared" si="149"/>
        <v>0</v>
      </c>
      <c r="AB206" s="116">
        <f t="shared" si="150"/>
        <v>29734.176758835722</v>
      </c>
      <c r="AC206" s="116">
        <f t="shared" si="151"/>
        <v>63229.161595006895</v>
      </c>
      <c r="AD206" s="1240">
        <f t="shared" si="152"/>
        <v>0</v>
      </c>
      <c r="AE206" s="579">
        <f t="shared" si="153"/>
        <v>0.27079206997976663</v>
      </c>
      <c r="AF206" s="100">
        <f t="shared" si="154"/>
        <v>0.17643718203676095</v>
      </c>
      <c r="AG206" s="100">
        <f t="shared" si="155"/>
        <v>8.2510254110598133E-2</v>
      </c>
      <c r="AH206" s="100">
        <f t="shared" si="167"/>
        <v>0</v>
      </c>
      <c r="AI206" s="100">
        <f t="shared" si="156"/>
        <v>0.47026049387287433</v>
      </c>
      <c r="AJ206" s="471">
        <f t="shared" si="157"/>
        <v>1</v>
      </c>
      <c r="AK206" s="1250">
        <f t="shared" si="158"/>
        <v>12974.078135743073</v>
      </c>
      <c r="AL206" s="1251">
        <f t="shared" si="159"/>
        <v>3909.8967811944872</v>
      </c>
      <c r="AM206" s="1251">
        <f t="shared" si="160"/>
        <v>237.98063445951723</v>
      </c>
      <c r="AN206" s="1251">
        <f t="shared" si="161"/>
        <v>17121.955551397077</v>
      </c>
      <c r="AO206" s="1022">
        <f t="shared" si="162"/>
        <v>0</v>
      </c>
    </row>
    <row r="207" spans="1:41">
      <c r="A207" s="89">
        <f>'Input data'!A147</f>
        <v>2047</v>
      </c>
      <c r="B207" s="152">
        <f>'Input data'!B147</f>
        <v>74.373096484110363</v>
      </c>
      <c r="C207" s="204">
        <f>'Input data'!C147</f>
        <v>8261.0803168727289</v>
      </c>
      <c r="D207" s="474">
        <f>'Input data'!E147</f>
        <v>12215991.666765345</v>
      </c>
      <c r="E207" s="473">
        <f>'Input data'!J147*C207</f>
        <v>99389.434219064453</v>
      </c>
      <c r="F207" s="474">
        <f>'Input data'!L147</f>
        <v>111605.4258858298</v>
      </c>
      <c r="G207" s="474">
        <f t="shared" si="172"/>
        <v>16190.101088088571</v>
      </c>
      <c r="H207" s="474">
        <f t="shared" si="135"/>
        <v>52304.388898667559</v>
      </c>
      <c r="I207" s="475">
        <f t="shared" si="138"/>
        <v>12215.991666765345</v>
      </c>
      <c r="J207" s="100">
        <f t="shared" si="170"/>
        <v>0.2</v>
      </c>
      <c r="K207" s="474">
        <f t="shared" si="164"/>
        <v>1691.3316715662677</v>
      </c>
      <c r="L207" s="474">
        <f t="shared" si="140"/>
        <v>0</v>
      </c>
      <c r="M207" s="475">
        <f t="shared" si="165"/>
        <v>1691.3316715662677</v>
      </c>
      <c r="N207" s="579">
        <f t="shared" si="169"/>
        <v>0.5</v>
      </c>
      <c r="O207" s="475">
        <f t="shared" si="141"/>
        <v>751.91700000000026</v>
      </c>
      <c r="P207" s="1234">
        <f t="shared" si="168"/>
        <v>2443.2486715662681</v>
      </c>
      <c r="Q207" s="467">
        <f t="shared" si="142"/>
        <v>66051.241315189865</v>
      </c>
      <c r="R207" s="467">
        <f t="shared" si="166"/>
        <v>49861.140227101292</v>
      </c>
      <c r="S207" s="518">
        <f t="shared" si="143"/>
        <v>0.8859721974430752</v>
      </c>
      <c r="T207" s="118" t="str">
        <f t="shared" si="144"/>
        <v>Yes</v>
      </c>
      <c r="U207" s="938">
        <f t="shared" si="145"/>
        <v>0.8859721974430752</v>
      </c>
      <c r="V207" s="1247">
        <f t="shared" si="136"/>
        <v>61744.285658728521</v>
      </c>
      <c r="W207" s="1244">
        <f t="shared" si="137"/>
        <v>0.4467626894601725</v>
      </c>
      <c r="X207" s="473">
        <f t="shared" si="146"/>
        <v>16190.101088088575</v>
      </c>
      <c r="Y207" s="474">
        <f t="shared" si="147"/>
        <v>10402.119481142747</v>
      </c>
      <c r="Z207" s="116">
        <f t="shared" si="148"/>
        <v>5243.2755347882812</v>
      </c>
      <c r="AA207" s="116">
        <f t="shared" si="149"/>
        <v>0</v>
      </c>
      <c r="AB207" s="116">
        <f t="shared" si="150"/>
        <v>29908.789554708914</v>
      </c>
      <c r="AC207" s="116">
        <f t="shared" si="151"/>
        <v>61744.285658728521</v>
      </c>
      <c r="AD207" s="1240">
        <f t="shared" si="152"/>
        <v>0</v>
      </c>
      <c r="AE207" s="579">
        <f t="shared" si="153"/>
        <v>0.26221213696720208</v>
      </c>
      <c r="AF207" s="100">
        <f t="shared" si="154"/>
        <v>0.16847096650590604</v>
      </c>
      <c r="AG207" s="100">
        <f t="shared" si="155"/>
        <v>8.4919203110856017E-2</v>
      </c>
      <c r="AH207" s="100">
        <f t="shared" si="167"/>
        <v>0</v>
      </c>
      <c r="AI207" s="100">
        <f t="shared" si="156"/>
        <v>0.48439769341603578</v>
      </c>
      <c r="AJ207" s="471">
        <f t="shared" si="157"/>
        <v>0.99999999999999989</v>
      </c>
      <c r="AK207" s="1250">
        <f t="shared" si="158"/>
        <v>9772.7933334122754</v>
      </c>
      <c r="AL207" s="1251">
        <f t="shared" si="159"/>
        <v>6048.6460376560326</v>
      </c>
      <c r="AM207" s="1251">
        <f t="shared" si="160"/>
        <v>368.66171702026412</v>
      </c>
      <c r="AN207" s="1251">
        <f t="shared" si="161"/>
        <v>16190.101088088571</v>
      </c>
      <c r="AO207" s="1022">
        <f t="shared" si="162"/>
        <v>0</v>
      </c>
    </row>
    <row r="208" spans="1:41">
      <c r="A208" s="89">
        <f>'Input data'!A148</f>
        <v>2048</v>
      </c>
      <c r="B208" s="152">
        <f>'Input data'!B148</f>
        <v>74.752759240528661</v>
      </c>
      <c r="C208" s="204">
        <f>'Input data'!C148</f>
        <v>8289.8997424694644</v>
      </c>
      <c r="D208" s="474">
        <f>'Input data'!E148</f>
        <v>8214385.6638518488</v>
      </c>
      <c r="E208" s="473">
        <f>'Input data'!J148*C208</f>
        <v>99736.162043357326</v>
      </c>
      <c r="F208" s="474">
        <f>'Input data'!L148</f>
        <v>107950.54770720917</v>
      </c>
      <c r="G208" s="474">
        <f t="shared" si="172"/>
        <v>15308.962370313993</v>
      </c>
      <c r="H208" s="474">
        <f t="shared" si="135"/>
        <v>49629.166307947846</v>
      </c>
      <c r="I208" s="475">
        <f t="shared" si="138"/>
        <v>8214.3856638518482</v>
      </c>
      <c r="J208" s="100">
        <f t="shared" si="170"/>
        <v>0.2</v>
      </c>
      <c r="K208" s="474">
        <f t="shared" si="164"/>
        <v>1137.3002712117359</v>
      </c>
      <c r="L208" s="474">
        <f t="shared" si="140"/>
        <v>0</v>
      </c>
      <c r="M208" s="475">
        <f t="shared" si="165"/>
        <v>1137.3002712117359</v>
      </c>
      <c r="N208" s="579">
        <f t="shared" si="169"/>
        <v>0.5</v>
      </c>
      <c r="O208" s="475">
        <f t="shared" si="141"/>
        <v>751.91700000000026</v>
      </c>
      <c r="P208" s="1234">
        <f t="shared" si="168"/>
        <v>1889.2172712117363</v>
      </c>
      <c r="Q208" s="467">
        <f t="shared" si="142"/>
        <v>63048.911407050102</v>
      </c>
      <c r="R208" s="467">
        <f t="shared" si="166"/>
        <v>47739.949036736107</v>
      </c>
      <c r="S208" s="518">
        <f t="shared" si="143"/>
        <v>0.84529292435027437</v>
      </c>
      <c r="T208" s="118" t="str">
        <f t="shared" si="144"/>
        <v>Yes</v>
      </c>
      <c r="U208" s="938">
        <f t="shared" si="145"/>
        <v>0.84529292435027437</v>
      </c>
      <c r="V208" s="1247">
        <f t="shared" si="136"/>
        <v>60210.598670473075</v>
      </c>
      <c r="W208" s="1244">
        <f t="shared" si="137"/>
        <v>0.4422390627069317</v>
      </c>
      <c r="X208" s="473">
        <f t="shared" si="146"/>
        <v>15308.96237031399</v>
      </c>
      <c r="Y208" s="474">
        <f t="shared" si="147"/>
        <v>9629.5636002338579</v>
      </c>
      <c r="Z208" s="116">
        <f t="shared" si="148"/>
        <v>5258.9439907476335</v>
      </c>
      <c r="AA208" s="116">
        <f t="shared" si="149"/>
        <v>0</v>
      </c>
      <c r="AB208" s="116">
        <f t="shared" si="150"/>
        <v>30013.128709177592</v>
      </c>
      <c r="AC208" s="116">
        <f t="shared" si="151"/>
        <v>60210.598670473075</v>
      </c>
      <c r="AD208" s="1240">
        <f t="shared" si="152"/>
        <v>0</v>
      </c>
      <c r="AE208" s="579">
        <f t="shared" si="153"/>
        <v>0.25425693662503668</v>
      </c>
      <c r="AF208" s="100">
        <f t="shared" si="154"/>
        <v>0.1599313711018811</v>
      </c>
      <c r="AG208" s="100">
        <f t="shared" si="155"/>
        <v>8.7342496285900392E-2</v>
      </c>
      <c r="AH208" s="100">
        <f t="shared" si="167"/>
        <v>0</v>
      </c>
      <c r="AI208" s="100">
        <f t="shared" si="156"/>
        <v>0.49846919598718181</v>
      </c>
      <c r="AJ208" s="471">
        <f t="shared" si="157"/>
        <v>1</v>
      </c>
      <c r="AK208" s="1250">
        <f t="shared" si="158"/>
        <v>6571.5085310814784</v>
      </c>
      <c r="AL208" s="1251">
        <f t="shared" si="159"/>
        <v>8235.1217878662464</v>
      </c>
      <c r="AM208" s="1251">
        <f t="shared" si="160"/>
        <v>502.33205136626117</v>
      </c>
      <c r="AN208" s="1251">
        <f t="shared" si="161"/>
        <v>15308.962370313988</v>
      </c>
      <c r="AO208" s="1022">
        <f t="shared" si="162"/>
        <v>0</v>
      </c>
    </row>
    <row r="209" spans="1:41">
      <c r="A209" s="89">
        <f>'Input data'!A149</f>
        <v>2049</v>
      </c>
      <c r="B209" s="152">
        <f>'Input data'!B149</f>
        <v>75.134360114565098</v>
      </c>
      <c r="C209" s="204">
        <f>'Input data'!C149</f>
        <v>8319.7266636271434</v>
      </c>
      <c r="D209" s="474">
        <f>'Input data'!E149</f>
        <v>4212779.6609383523</v>
      </c>
      <c r="E209" s="473">
        <f>'Input data'!J149*C209</f>
        <v>100095.01109271272</v>
      </c>
      <c r="F209" s="474">
        <f>'Input data'!L149</f>
        <v>104307.79075365108</v>
      </c>
      <c r="G209" s="474">
        <f t="shared" si="172"/>
        <v>14475.779217222871</v>
      </c>
      <c r="H209" s="474">
        <f t="shared" si="135"/>
        <v>46912.943397785515</v>
      </c>
      <c r="I209" s="475">
        <f t="shared" si="138"/>
        <v>4212.7796609383522</v>
      </c>
      <c r="J209" s="100">
        <f t="shared" si="170"/>
        <v>0.2</v>
      </c>
      <c r="K209" s="474">
        <f t="shared" si="164"/>
        <v>583.26887085720409</v>
      </c>
      <c r="L209" s="474">
        <f t="shared" si="140"/>
        <v>0</v>
      </c>
      <c r="M209" s="475">
        <f t="shared" si="165"/>
        <v>583.26887085720409</v>
      </c>
      <c r="N209" s="579">
        <f t="shared" si="169"/>
        <v>0.5</v>
      </c>
      <c r="O209" s="475">
        <f t="shared" si="141"/>
        <v>751.91700000000026</v>
      </c>
      <c r="P209" s="1234">
        <f t="shared" si="168"/>
        <v>1335.1858708572045</v>
      </c>
      <c r="Q209" s="467">
        <f t="shared" si="142"/>
        <v>60053.536744151184</v>
      </c>
      <c r="R209" s="467">
        <f t="shared" si="166"/>
        <v>45577.757526928312</v>
      </c>
      <c r="S209" s="518">
        <f t="shared" si="143"/>
        <v>0.80407716314226585</v>
      </c>
      <c r="T209" s="118" t="str">
        <f t="shared" si="144"/>
        <v>Yes</v>
      </c>
      <c r="U209" s="938">
        <f t="shared" si="145"/>
        <v>0.80407716314226585</v>
      </c>
      <c r="V209" s="1247">
        <f t="shared" si="136"/>
        <v>58730.033226722779</v>
      </c>
      <c r="W209" s="1244">
        <f t="shared" si="137"/>
        <v>0.43695449014514709</v>
      </c>
      <c r="X209" s="473">
        <f t="shared" si="146"/>
        <v>14475.779217222871</v>
      </c>
      <c r="Y209" s="474">
        <f t="shared" si="147"/>
        <v>8857.9783644971194</v>
      </c>
      <c r="Z209" s="116">
        <f t="shared" si="148"/>
        <v>5275.1601987700142</v>
      </c>
      <c r="AA209" s="116">
        <f t="shared" si="149"/>
        <v>0</v>
      </c>
      <c r="AB209" s="116">
        <f t="shared" si="150"/>
        <v>30121.11544623278</v>
      </c>
      <c r="AC209" s="116">
        <f t="shared" si="151"/>
        <v>58730.033226722779</v>
      </c>
      <c r="AD209" s="1240">
        <f t="shared" si="152"/>
        <v>0</v>
      </c>
      <c r="AE209" s="579">
        <f t="shared" si="153"/>
        <v>0.24648001068448638</v>
      </c>
      <c r="AF209" s="100">
        <f t="shared" si="154"/>
        <v>0.15082535932342445</v>
      </c>
      <c r="AG209" s="100">
        <f t="shared" si="155"/>
        <v>8.9820487218280023E-2</v>
      </c>
      <c r="AH209" s="100">
        <f t="shared" si="167"/>
        <v>0</v>
      </c>
      <c r="AI209" s="100">
        <f t="shared" si="156"/>
        <v>0.51287414277380927</v>
      </c>
      <c r="AJ209" s="471">
        <f t="shared" si="157"/>
        <v>1</v>
      </c>
      <c r="AK209" s="1250">
        <f t="shared" si="158"/>
        <v>3370.2237287506819</v>
      </c>
      <c r="AL209" s="1251">
        <f t="shared" si="159"/>
        <v>10466.577409536027</v>
      </c>
      <c r="AM209" s="1251">
        <f t="shared" si="160"/>
        <v>638.97807893616039</v>
      </c>
      <c r="AN209" s="1251">
        <f t="shared" si="161"/>
        <v>14475.779217222869</v>
      </c>
      <c r="AO209" s="1022">
        <f t="shared" si="162"/>
        <v>0</v>
      </c>
    </row>
    <row r="210" spans="1:41" ht="15" thickBot="1">
      <c r="A210" s="141">
        <f>'Input data'!A150</f>
        <v>2050</v>
      </c>
      <c r="B210" s="593">
        <f>'Input data'!B150</f>
        <v>75.517908999999989</v>
      </c>
      <c r="C210" s="207">
        <f>'Input data'!C150</f>
        <v>8341.54221182129</v>
      </c>
      <c r="D210" s="595">
        <f>'Input data'!E150</f>
        <v>211173.65802485455</v>
      </c>
      <c r="E210" s="598">
        <f>'Input data'!J150*C210</f>
        <v>100357.47494841044</v>
      </c>
      <c r="F210" s="595">
        <f>'Input data'!L150</f>
        <v>100568.64860643529</v>
      </c>
      <c r="G210" s="595">
        <f>G177*(1-$C$6)</f>
        <v>13687.941669523079</v>
      </c>
      <c r="H210" s="595">
        <f t="shared" si="135"/>
        <v>44096.068371873596</v>
      </c>
      <c r="I210" s="589">
        <f t="shared" si="138"/>
        <v>211.17365802485455</v>
      </c>
      <c r="J210" s="581">
        <f t="shared" si="170"/>
        <v>0.2</v>
      </c>
      <c r="K210" s="595">
        <f t="shared" si="164"/>
        <v>29.237470502672153</v>
      </c>
      <c r="L210" s="595">
        <f t="shared" si="140"/>
        <v>0</v>
      </c>
      <c r="M210" s="589">
        <f t="shared" si="165"/>
        <v>29.237470502672153</v>
      </c>
      <c r="N210" s="580">
        <f t="shared" si="169"/>
        <v>0.5</v>
      </c>
      <c r="O210" s="589">
        <f t="shared" si="141"/>
        <v>751.91700000000026</v>
      </c>
      <c r="P210" s="1235">
        <f t="shared" si="168"/>
        <v>781.15447050267244</v>
      </c>
      <c r="Q210" s="1238">
        <f t="shared" si="142"/>
        <v>57002.855570894004</v>
      </c>
      <c r="R210" s="1238">
        <f t="shared" si="166"/>
        <v>43314.913901370921</v>
      </c>
      <c r="S210" s="520">
        <f t="shared" si="143"/>
        <v>0.76213142536574363</v>
      </c>
      <c r="T210" s="951" t="str">
        <f t="shared" si="144"/>
        <v>Yes</v>
      </c>
      <c r="U210" s="941">
        <f t="shared" si="145"/>
        <v>0.76213142536574363</v>
      </c>
      <c r="V210" s="1248">
        <f t="shared" si="136"/>
        <v>57253.734705064388</v>
      </c>
      <c r="W210" s="1245">
        <f t="shared" si="137"/>
        <v>0.43069996963844281</v>
      </c>
      <c r="X210" s="598">
        <f t="shared" si="146"/>
        <v>13687.941669523081</v>
      </c>
      <c r="Y210" s="595">
        <f t="shared" si="147"/>
        <v>8078.6747816124816</v>
      </c>
      <c r="Z210" s="1264">
        <f t="shared" si="148"/>
        <v>5287.0208083773005</v>
      </c>
      <c r="AA210" s="1264">
        <f t="shared" si="149"/>
        <v>0</v>
      </c>
      <c r="AB210" s="1264">
        <f t="shared" si="150"/>
        <v>30200.097445551524</v>
      </c>
      <c r="AC210" s="1264">
        <f t="shared" si="151"/>
        <v>57253.734705064388</v>
      </c>
      <c r="AD210" s="1241">
        <f t="shared" si="152"/>
        <v>0</v>
      </c>
      <c r="AE210" s="580">
        <f t="shared" si="153"/>
        <v>0.23907508811494724</v>
      </c>
      <c r="AF210" s="581">
        <f t="shared" si="154"/>
        <v>0.14110301840096173</v>
      </c>
      <c r="AG210" s="581">
        <f t="shared" si="155"/>
        <v>9.2343684400899642E-2</v>
      </c>
      <c r="AH210" s="581">
        <f t="shared" si="167"/>
        <v>0</v>
      </c>
      <c r="AI210" s="581">
        <f>AB210/AC210</f>
        <v>0.52747820908319143</v>
      </c>
      <c r="AJ210" s="582">
        <f t="shared" si="157"/>
        <v>1</v>
      </c>
      <c r="AK210" s="1252">
        <f t="shared" si="158"/>
        <v>168.93892641988364</v>
      </c>
      <c r="AL210" s="1253">
        <f t="shared" si="159"/>
        <v>12740.720635893418</v>
      </c>
      <c r="AM210" s="1253">
        <f t="shared" si="160"/>
        <v>778.28210720977654</v>
      </c>
      <c r="AN210" s="1253">
        <f t="shared" si="161"/>
        <v>13687.941669523078</v>
      </c>
      <c r="AO210" s="1023">
        <f t="shared" si="162"/>
        <v>0</v>
      </c>
    </row>
  </sheetData>
  <mergeCells count="78">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G26:G27"/>
    <mergeCell ref="B26:B27"/>
    <mergeCell ref="A8:A9"/>
    <mergeCell ref="B8:F8"/>
    <mergeCell ref="G8:I8"/>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BC94:BC95"/>
    <mergeCell ref="AB94:AB96"/>
    <mergeCell ref="V94:V95"/>
    <mergeCell ref="Q94:U94"/>
    <mergeCell ref="Z94:Z95"/>
    <mergeCell ref="AD94:AD96"/>
    <mergeCell ref="AC94:AC96"/>
    <mergeCell ref="A175:A176"/>
    <mergeCell ref="P174:P175"/>
    <mergeCell ref="Q174:Q175"/>
    <mergeCell ref="R174:R175"/>
    <mergeCell ref="S174:S175"/>
    <mergeCell ref="A174:D174"/>
    <mergeCell ref="E174:I174"/>
    <mergeCell ref="J174:L174"/>
    <mergeCell ref="M174:M175"/>
    <mergeCell ref="N174:O174"/>
    <mergeCell ref="P134:P135"/>
    <mergeCell ref="Q134:Q135"/>
    <mergeCell ref="V134:V135"/>
    <mergeCell ref="S134:S135"/>
    <mergeCell ref="W134:W135"/>
    <mergeCell ref="CG94:CM94"/>
    <mergeCell ref="CM95:CM96"/>
    <mergeCell ref="BD94:BD96"/>
    <mergeCell ref="CD94:CE94"/>
    <mergeCell ref="BY94:CA94"/>
    <mergeCell ref="CB94:CC94"/>
    <mergeCell ref="BV94:BX94"/>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4.4"/>
  <cols>
    <col min="1" max="1" width="55.33203125" customWidth="1"/>
    <col min="2" max="2" width="33.6640625" customWidth="1"/>
    <col min="3" max="3" width="22.5546875" customWidth="1"/>
    <col min="4" max="4" width="31.33203125" customWidth="1"/>
    <col min="5" max="5" width="25.109375" customWidth="1"/>
    <col min="6" max="6" width="28.109375" customWidth="1"/>
    <col min="7" max="7" width="26.33203125" customWidth="1"/>
    <col min="8" max="8" width="19.6640625" customWidth="1"/>
    <col min="9" max="9" width="30.33203125" customWidth="1"/>
    <col min="10" max="10" width="25.33203125" customWidth="1"/>
    <col min="11" max="12" width="24.6640625" customWidth="1"/>
    <col min="13" max="13" width="23.6640625" customWidth="1"/>
    <col min="14" max="14" width="25.88671875" customWidth="1"/>
    <col min="15" max="15" width="26.109375" customWidth="1"/>
    <col min="16" max="16" width="19.88671875" customWidth="1"/>
    <col min="17" max="17" width="20.6640625" customWidth="1"/>
    <col min="18" max="18" width="19.33203125" customWidth="1"/>
    <col min="19" max="19" width="23.109375" customWidth="1"/>
    <col min="20" max="20" width="21.109375" customWidth="1"/>
    <col min="21" max="21" width="32.33203125" customWidth="1"/>
    <col min="22" max="22" width="20" customWidth="1"/>
    <col min="23" max="23" width="24.33203125" customWidth="1"/>
    <col min="24" max="24" width="20.33203125" customWidth="1"/>
    <col min="25" max="25" width="21.88671875" customWidth="1"/>
    <col min="26" max="26" width="17.33203125" customWidth="1"/>
    <col min="27" max="28" width="21.44140625" customWidth="1"/>
    <col min="29" max="29" width="32.33203125" customWidth="1"/>
    <col min="30" max="30" width="30.109375" customWidth="1"/>
    <col min="31" max="31" width="24.44140625" customWidth="1"/>
    <col min="32" max="32" width="29.44140625" customWidth="1"/>
    <col min="33" max="33" width="25.6640625" customWidth="1"/>
    <col min="34" max="34" width="22.6640625" customWidth="1"/>
    <col min="35" max="37" width="29.109375" customWidth="1"/>
    <col min="38" max="38" width="22.88671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9" max="69" width="15.5546875" customWidth="1"/>
    <col min="72" max="72" width="14.6640625" customWidth="1"/>
    <col min="73" max="73" width="13.33203125" customWidth="1"/>
    <col min="74" max="74" width="13.88671875" customWidth="1"/>
    <col min="75" max="75" width="14.5546875" customWidth="1"/>
    <col min="76" max="76" width="14.6640625" customWidth="1"/>
    <col min="77" max="77" width="18.33203125" customWidth="1"/>
    <col min="78" max="78" width="12.88671875" customWidth="1"/>
    <col min="79" max="79" width="19.33203125" customWidth="1"/>
    <col min="80" max="80" width="17" customWidth="1"/>
    <col min="81" max="82" width="17.6640625" customWidth="1"/>
    <col min="83" max="83" width="19.5546875" customWidth="1"/>
    <col min="90" max="90" width="14.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618</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552</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609" t="s">
        <v>646</v>
      </c>
      <c r="BW94" s="1610"/>
      <c r="BX94" s="1611"/>
      <c r="BY94" s="1609" t="s">
        <v>650</v>
      </c>
      <c r="BZ94" s="1610"/>
      <c r="CA94" s="1611"/>
      <c r="CB94" s="1607" t="s">
        <v>647</v>
      </c>
      <c r="CC94" s="1608"/>
      <c r="CD94" s="1509" t="s">
        <v>651</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02" t="s">
        <v>736</v>
      </c>
    </row>
    <row r="96" spans="1:91" ht="29.4"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4436.7667702664276</v>
      </c>
      <c r="D99" s="204">
        <f>'Input data'!D119</f>
        <v>53169997.747000799</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113.56805229285898</v>
      </c>
      <c r="BW99" s="100">
        <f t="shared" si="59"/>
        <v>0.3763252339163653</v>
      </c>
      <c r="BX99" s="1385">
        <f t="shared" si="25"/>
        <v>53.169997747000799</v>
      </c>
      <c r="BY99" s="473">
        <f t="shared" si="60"/>
        <v>113.56805229285898</v>
      </c>
      <c r="BZ99" s="100">
        <f t="shared" si="61"/>
        <v>0.3763252339163653</v>
      </c>
      <c r="CA99" s="489">
        <f t="shared" si="26"/>
        <v>53.169997747000799</v>
      </c>
      <c r="CB99" s="579">
        <f t="shared" si="27"/>
        <v>4.2261345922522509E-2</v>
      </c>
      <c r="CC99" s="471">
        <f t="shared" si="62"/>
        <v>0.15670225364825097</v>
      </c>
      <c r="CD99" s="100">
        <f t="shared" si="28"/>
        <v>4.2261345922522509E-2</v>
      </c>
      <c r="CE99" s="471">
        <f t="shared" si="63"/>
        <v>0.15670225364825097</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59.308690000000006</v>
      </c>
      <c r="C100" s="204">
        <f>'Input data'!C120</f>
        <v>4197.6296598339768</v>
      </c>
      <c r="D100" s="204">
        <f>'Input data'!D120</f>
        <v>50963260.465782054</v>
      </c>
      <c r="E100" s="579">
        <f t="shared" si="71"/>
        <v>0.78061538461538471</v>
      </c>
      <c r="F100" s="100">
        <f t="shared" si="72"/>
        <v>0.30751923076923071</v>
      </c>
      <c r="G100" s="475">
        <f>B100*F100*'Input data'!$C$9</f>
        <v>558.22933891619243</v>
      </c>
      <c r="H100" s="301">
        <f>'Input data'!I120</f>
        <v>424.26313389388866</v>
      </c>
      <c r="I100" s="474">
        <f>'Input data'!K120</f>
        <v>25162.490686541139</v>
      </c>
      <c r="J100" s="474">
        <f>J97*0.81</f>
        <v>9026.6655003882443</v>
      </c>
      <c r="K100" s="475">
        <f t="shared" si="73"/>
        <v>2666.8081220502918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62.174809501571872</v>
      </c>
      <c r="R100" s="474">
        <f t="shared" si="32"/>
        <v>43.387514496329516</v>
      </c>
      <c r="S100" s="474">
        <f t="shared" si="33"/>
        <v>127.05661046635623</v>
      </c>
      <c r="T100" s="474">
        <f t="shared" si="34"/>
        <v>85.551967685751606</v>
      </c>
      <c r="U100" s="475">
        <f t="shared" si="35"/>
        <v>0</v>
      </c>
      <c r="V100" s="474">
        <f t="shared" si="9"/>
        <v>318.17090215000923</v>
      </c>
      <c r="W100" s="579">
        <f>($N$142-$N$137)/($A$102-$A$97)+W99</f>
        <v>0.2</v>
      </c>
      <c r="X100" s="475">
        <f t="shared" si="36"/>
        <v>1213.3941881208284</v>
      </c>
      <c r="Y100" s="474">
        <f t="shared" si="77"/>
        <v>1531.5650902708376</v>
      </c>
      <c r="Z100" s="474">
        <f t="shared" si="78"/>
        <v>10161.908532167698</v>
      </c>
      <c r="AA100" s="475">
        <f t="shared" si="79"/>
        <v>1135.2430317794533</v>
      </c>
      <c r="AB100" s="938">
        <f t="shared" si="37"/>
        <v>0.11171553337503697</v>
      </c>
      <c r="AC100" s="118" t="str">
        <f t="shared" si="38"/>
        <v>Yes</v>
      </c>
      <c r="AD100" s="938">
        <f t="shared" si="39"/>
        <v>0.11171553337503697</v>
      </c>
      <c r="AE100" s="579">
        <f t="shared" si="10"/>
        <v>6.3097402659273327E-2</v>
      </c>
      <c r="AF100" s="475">
        <f t="shared" si="11"/>
        <v>397.49323210110077</v>
      </c>
      <c r="AG100" s="473">
        <f t="shared" si="40"/>
        <v>9026.6655003882443</v>
      </c>
      <c r="AH100" s="474">
        <f t="shared" si="80"/>
        <v>7215.5760361663397</v>
      </c>
      <c r="AI100" s="474">
        <f t="shared" si="81"/>
        <v>4617.5691834333375</v>
      </c>
      <c r="AJ100" s="474">
        <f t="shared" si="12"/>
        <v>2714.9921597943135</v>
      </c>
      <c r="AK100" s="474">
        <f t="shared" si="41"/>
        <v>23574.802879782237</v>
      </c>
      <c r="AL100" s="640">
        <f t="shared" si="13"/>
        <v>0</v>
      </c>
      <c r="AM100" s="100">
        <f t="shared" si="42"/>
        <v>0.38289463315638228</v>
      </c>
      <c r="AN100" s="100">
        <f t="shared" si="43"/>
        <v>0.30607153209134236</v>
      </c>
      <c r="AO100" s="100">
        <f t="shared" si="44"/>
        <v>0.19586883534001326</v>
      </c>
      <c r="AP100" s="100">
        <f t="shared" si="45"/>
        <v>0.11516499941226198</v>
      </c>
      <c r="AQ100" s="100">
        <f t="shared" si="46"/>
        <v>0.99999999999999989</v>
      </c>
      <c r="AR100" s="473">
        <f t="shared" si="14"/>
        <v>2017.8652163457427</v>
      </c>
      <c r="AS100" s="474">
        <f t="shared" si="15"/>
        <v>2559.1990007498525</v>
      </c>
      <c r="AT100" s="474">
        <f t="shared" si="16"/>
        <v>557.59353532799946</v>
      </c>
      <c r="AU100" s="474">
        <f t="shared" si="17"/>
        <v>0</v>
      </c>
      <c r="AV100" s="474">
        <f t="shared" si="18"/>
        <v>0</v>
      </c>
      <c r="AW100" s="474">
        <f t="shared" si="19"/>
        <v>0</v>
      </c>
      <c r="AX100" s="474">
        <f t="shared" si="20"/>
        <v>2608.3793991678872</v>
      </c>
      <c r="AY100" s="474">
        <f t="shared" si="21"/>
        <v>338.57173496576468</v>
      </c>
      <c r="AZ100" s="474">
        <f t="shared" si="22"/>
        <v>435.26820826636424</v>
      </c>
      <c r="BA100" s="474">
        <f t="shared" si="23"/>
        <v>405.8558446188876</v>
      </c>
      <c r="BB100" s="474">
        <f t="shared" si="24"/>
        <v>103.93256094574485</v>
      </c>
      <c r="BC100" s="475">
        <f t="shared" si="47"/>
        <v>9026.6655003882424</v>
      </c>
      <c r="BD100" s="647">
        <f t="shared" si="48"/>
        <v>0</v>
      </c>
      <c r="BE100" s="383">
        <f t="shared" si="49"/>
        <v>0.22354491991078579</v>
      </c>
      <c r="BF100" s="383">
        <f t="shared" si="50"/>
        <v>0.28351543553262054</v>
      </c>
      <c r="BG100" s="383">
        <f t="shared" si="51"/>
        <v>6.1771817655591317E-2</v>
      </c>
      <c r="BH100" s="383">
        <f t="shared" si="52"/>
        <v>0</v>
      </c>
      <c r="BI100" s="383">
        <f t="shared" si="53"/>
        <v>0</v>
      </c>
      <c r="BJ100" s="383">
        <f t="shared" si="54"/>
        <v>0</v>
      </c>
      <c r="BK100" s="383">
        <f t="shared" si="55"/>
        <v>0.43116782690100253</v>
      </c>
      <c r="BL100" s="383">
        <f t="shared" si="56"/>
        <v>1.0000000000000002</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107.95239924758383</v>
      </c>
      <c r="BW100" s="100">
        <f t="shared" si="59"/>
        <v>0.40285876264672721</v>
      </c>
      <c r="BX100" s="1385">
        <f t="shared" si="25"/>
        <v>50.963260465782056</v>
      </c>
      <c r="BY100" s="473">
        <f t="shared" si="60"/>
        <v>107.95239924758383</v>
      </c>
      <c r="BZ100" s="100">
        <f t="shared" si="61"/>
        <v>0.40285876264672721</v>
      </c>
      <c r="CA100" s="489">
        <f t="shared" si="26"/>
        <v>50.963260465782056</v>
      </c>
      <c r="CB100" s="579">
        <f t="shared" si="27"/>
        <v>6.3097402659273327E-2</v>
      </c>
      <c r="CC100" s="471">
        <f t="shared" si="62"/>
        <v>0.1684079773439997</v>
      </c>
      <c r="CD100" s="100">
        <f t="shared" si="28"/>
        <v>6.3097402659273327E-2</v>
      </c>
      <c r="CE100" s="471">
        <f t="shared" si="63"/>
        <v>0.1684079773439997</v>
      </c>
      <c r="CG100" s="473">
        <f t="shared" si="64"/>
        <v>1364.3916529511498</v>
      </c>
      <c r="CH100" s="474">
        <f t="shared" si="65"/>
        <v>547.44573505593632</v>
      </c>
      <c r="CI100" s="474">
        <f t="shared" si="66"/>
        <v>2212.2267992546454</v>
      </c>
      <c r="CJ100" s="474">
        <f t="shared" si="67"/>
        <v>3051.3535141251637</v>
      </c>
      <c r="CK100" s="474">
        <f t="shared" si="68"/>
        <v>40.158334779443209</v>
      </c>
      <c r="CL100" s="474">
        <f t="shared" si="69"/>
        <v>7215.5760361663388</v>
      </c>
      <c r="CM100" s="576">
        <f t="shared" si="70"/>
        <v>0</v>
      </c>
    </row>
    <row r="101" spans="1:91">
      <c r="A101" s="89">
        <f>'Input data'!A121</f>
        <v>2021</v>
      </c>
      <c r="B101" s="152">
        <f>'Input data'!B121</f>
        <v>59.991580449204264</v>
      </c>
      <c r="C101" s="204">
        <f>'Input data'!C121</f>
        <v>4326.0661578199733</v>
      </c>
      <c r="D101" s="204">
        <f>'Input data'!D121</f>
        <v>50546075.397081107</v>
      </c>
      <c r="E101" s="579">
        <f t="shared" si="71"/>
        <v>0.80255384615384628</v>
      </c>
      <c r="F101" s="100">
        <f t="shared" si="72"/>
        <v>0.31349230769230763</v>
      </c>
      <c r="G101" s="475">
        <f>B101*F101*'Input data'!$C$9</f>
        <v>575.62445854598354</v>
      </c>
      <c r="H101" s="301">
        <f>'Input data'!I121</f>
        <v>424.26313389388866</v>
      </c>
      <c r="I101" s="474">
        <f>'Input data'!K121</f>
        <v>25452.215928626742</v>
      </c>
      <c r="J101" s="474">
        <f>J97*0.65</f>
        <v>7243.6204632745166</v>
      </c>
      <c r="K101" s="475">
        <f t="shared" si="73"/>
        <v>4584.4938240444126</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83.854267924368514</v>
      </c>
      <c r="R101" s="474">
        <f t="shared" si="32"/>
        <v>58.51611439285017</v>
      </c>
      <c r="S101" s="474">
        <f t="shared" si="33"/>
        <v>171.35941615291358</v>
      </c>
      <c r="T101" s="474">
        <f t="shared" si="34"/>
        <v>115.38270365905373</v>
      </c>
      <c r="U101" s="475">
        <f t="shared" si="35"/>
        <v>0</v>
      </c>
      <c r="V101" s="474">
        <f t="shared" si="9"/>
        <v>429.112502129186</v>
      </c>
      <c r="W101" s="579">
        <v>0.4</v>
      </c>
      <c r="X101" s="475">
        <f t="shared" si="36"/>
        <v>2426.7883762416568</v>
      </c>
      <c r="Y101" s="474">
        <f t="shared" si="77"/>
        <v>2855.9008783708427</v>
      </c>
      <c r="Z101" s="474">
        <f t="shared" si="78"/>
        <v>8972.213408948086</v>
      </c>
      <c r="AA101" s="475">
        <f t="shared" si="79"/>
        <v>1728.5929456735694</v>
      </c>
      <c r="AB101" s="938">
        <f t="shared" si="37"/>
        <v>0.19266070331648874</v>
      </c>
      <c r="AC101" s="118" t="str">
        <f t="shared" si="38"/>
        <v>Yes</v>
      </c>
      <c r="AD101" s="938">
        <f t="shared" si="39"/>
        <v>0.19266070331648874</v>
      </c>
      <c r="AE101" s="579">
        <f t="shared" si="10"/>
        <v>9.726841017376453E-2</v>
      </c>
      <c r="AF101" s="475">
        <f t="shared" si="11"/>
        <v>382.99573336469109</v>
      </c>
      <c r="AG101" s="473">
        <f t="shared" si="40"/>
        <v>7243.6204632745166</v>
      </c>
      <c r="AH101" s="474">
        <f t="shared" si="80"/>
        <v>7405.9355442178767</v>
      </c>
      <c r="AI101" s="474">
        <f t="shared" si="81"/>
        <v>5830.9633715541659</v>
      </c>
      <c r="AJ101" s="474">
        <f t="shared" si="12"/>
        <v>2495.9999708032969</v>
      </c>
      <c r="AK101" s="474">
        <f t="shared" si="41"/>
        <v>22976.519349849852</v>
      </c>
      <c r="AL101" s="640">
        <f t="shared" si="13"/>
        <v>0</v>
      </c>
      <c r="AM101" s="100">
        <f t="shared" si="42"/>
        <v>0.31526187030246827</v>
      </c>
      <c r="AN101" s="100">
        <f t="shared" si="43"/>
        <v>0.32232625975466878</v>
      </c>
      <c r="AO101" s="100">
        <f t="shared" si="44"/>
        <v>0.25377922925442015</v>
      </c>
      <c r="AP101" s="100">
        <f t="shared" si="45"/>
        <v>0.108632640688443</v>
      </c>
      <c r="AQ101" s="100">
        <f t="shared" si="46"/>
        <v>1.0000000000000002</v>
      </c>
      <c r="AR101" s="473">
        <f t="shared" si="14"/>
        <v>1428.1962066120468</v>
      </c>
      <c r="AS101" s="474">
        <f t="shared" si="15"/>
        <v>1811.3391693501608</v>
      </c>
      <c r="AT101" s="474">
        <f t="shared" si="16"/>
        <v>495.69314011643525</v>
      </c>
      <c r="AU101" s="474">
        <f t="shared" si="17"/>
        <v>0</v>
      </c>
      <c r="AV101" s="474">
        <f t="shared" si="18"/>
        <v>0</v>
      </c>
      <c r="AW101" s="474">
        <f t="shared" si="19"/>
        <v>0</v>
      </c>
      <c r="AX101" s="474">
        <f t="shared" si="20"/>
        <v>2397.9866316299795</v>
      </c>
      <c r="AY101" s="474">
        <f t="shared" si="21"/>
        <v>299.45183426330141</v>
      </c>
      <c r="AZ101" s="474">
        <f t="shared" si="22"/>
        <v>365.5730292421627</v>
      </c>
      <c r="BA101" s="474">
        <f t="shared" si="23"/>
        <v>349.83112675197412</v>
      </c>
      <c r="BB101" s="474">
        <f t="shared" si="24"/>
        <v>95.549325308454769</v>
      </c>
      <c r="BC101" s="475">
        <f t="shared" si="47"/>
        <v>7243.6204632745166</v>
      </c>
      <c r="BD101" s="647">
        <f t="shared" si="48"/>
        <v>0</v>
      </c>
      <c r="BE101" s="383">
        <f t="shared" si="49"/>
        <v>0.19716607376836848</v>
      </c>
      <c r="BF101" s="383">
        <f t="shared" si="50"/>
        <v>0.2500599221803147</v>
      </c>
      <c r="BG101" s="383">
        <f t="shared" si="51"/>
        <v>6.8431683110624295E-2</v>
      </c>
      <c r="BH101" s="383">
        <f t="shared" si="52"/>
        <v>0</v>
      </c>
      <c r="BI101" s="383">
        <f t="shared" si="53"/>
        <v>0</v>
      </c>
      <c r="BJ101" s="383">
        <f t="shared" si="54"/>
        <v>0</v>
      </c>
      <c r="BK101" s="383">
        <f t="shared" si="55"/>
        <v>0.48434232094069229</v>
      </c>
      <c r="BL101" s="383">
        <f t="shared" si="56"/>
        <v>0.99999999999999978</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98.620788883201101</v>
      </c>
      <c r="BW101" s="100">
        <f t="shared" si="59"/>
        <v>0.47547133342759096</v>
      </c>
      <c r="BX101" s="1385">
        <f t="shared" si="25"/>
        <v>50.546075397081104</v>
      </c>
      <c r="BY101" s="473">
        <f t="shared" si="60"/>
        <v>98.620788883201101</v>
      </c>
      <c r="BZ101" s="100">
        <f t="shared" si="61"/>
        <v>0.47547133342759096</v>
      </c>
      <c r="CA101" s="489">
        <f t="shared" si="26"/>
        <v>50.546075397081104</v>
      </c>
      <c r="CB101" s="579">
        <f t="shared" si="27"/>
        <v>9.726841017376453E-2</v>
      </c>
      <c r="CC101" s="471">
        <f t="shared" si="62"/>
        <v>0.2626773687912114</v>
      </c>
      <c r="CD101" s="100">
        <f t="shared" si="28"/>
        <v>9.726841017376453E-2</v>
      </c>
      <c r="CE101" s="471">
        <f t="shared" si="63"/>
        <v>0.2626773687912114</v>
      </c>
      <c r="CG101" s="473">
        <f t="shared" si="64"/>
        <v>1401.0650599029839</v>
      </c>
      <c r="CH101" s="474">
        <f t="shared" si="65"/>
        <v>568.37814792932511</v>
      </c>
      <c r="CI101" s="474">
        <f t="shared" si="66"/>
        <v>2280.5386128435684</v>
      </c>
      <c r="CJ101" s="474">
        <f t="shared" si="67"/>
        <v>3115.3329987944608</v>
      </c>
      <c r="CK101" s="474">
        <f t="shared" si="68"/>
        <v>40.620724747537743</v>
      </c>
      <c r="CL101" s="474">
        <f t="shared" si="69"/>
        <v>7405.9355442178758</v>
      </c>
      <c r="CM101" s="576">
        <f t="shared" si="70"/>
        <v>0</v>
      </c>
    </row>
    <row r="102" spans="1:91" s="1" customFormat="1">
      <c r="A102" s="89">
        <f>'Input data'!A122</f>
        <v>2022</v>
      </c>
      <c r="B102" s="152">
        <f>'Input data'!B122</f>
        <v>60.682333816399378</v>
      </c>
      <c r="C102" s="204">
        <f>'Input data'!C122</f>
        <v>4414.4786843532656</v>
      </c>
      <c r="D102" s="204">
        <f>'Input data'!D122</f>
        <v>50359792.84713313</v>
      </c>
      <c r="E102" s="579">
        <f t="shared" si="71"/>
        <v>0.82449230769230786</v>
      </c>
      <c r="F102" s="100">
        <f t="shared" si="72"/>
        <v>0.31946538461538454</v>
      </c>
      <c r="G102" s="475">
        <f>B102*F102*'Input data'!$C$9</f>
        <v>593.34615107097636</v>
      </c>
      <c r="H102" s="301">
        <f>'Input data'!I122</f>
        <v>424.26313389388866</v>
      </c>
      <c r="I102" s="474">
        <f>'Input data'!K122</f>
        <v>25745.277116940699</v>
      </c>
      <c r="J102" s="474">
        <f>J97*(1-$G$4)</f>
        <v>5572.0157409803969</v>
      </c>
      <c r="K102" s="475">
        <f t="shared" si="73"/>
        <v>6392.2894869731472</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106.02472547011826</v>
      </c>
      <c r="R102" s="474">
        <f t="shared" si="32"/>
        <v>73.987348737881234</v>
      </c>
      <c r="S102" s="474">
        <f t="shared" si="33"/>
        <v>216.66559739951708</v>
      </c>
      <c r="T102" s="474">
        <f t="shared" si="34"/>
        <v>145.88904992271819</v>
      </c>
      <c r="U102" s="475">
        <f t="shared" si="35"/>
        <v>0</v>
      </c>
      <c r="V102" s="474">
        <f t="shared" si="9"/>
        <v>542.56672153023476</v>
      </c>
      <c r="W102" s="579">
        <f>$E$26</f>
        <v>0.5</v>
      </c>
      <c r="X102" s="475">
        <f t="shared" si="36"/>
        <v>3033.4854703020706</v>
      </c>
      <c r="Y102" s="474">
        <f t="shared" si="77"/>
        <v>3576.0521918323052</v>
      </c>
      <c r="Z102" s="474">
        <f t="shared" si="78"/>
        <v>8388.2530361212393</v>
      </c>
      <c r="AA102" s="475">
        <f t="shared" si="79"/>
        <v>2816.2372951408424</v>
      </c>
      <c r="AB102" s="938">
        <f t="shared" si="37"/>
        <v>0.33573585382005611</v>
      </c>
      <c r="AC102" s="118" t="str">
        <f t="shared" si="38"/>
        <v>Yes</v>
      </c>
      <c r="AD102" s="938">
        <f t="shared" si="39"/>
        <v>0.33573585382005611</v>
      </c>
      <c r="AE102" s="579">
        <f t="shared" si="10"/>
        <v>0.15764324460297707</v>
      </c>
      <c r="AF102" s="475">
        <f t="shared" si="11"/>
        <v>357.3809169014288</v>
      </c>
      <c r="AG102" s="473">
        <f t="shared" si="40"/>
        <v>5572.0157409803969</v>
      </c>
      <c r="AH102" s="474">
        <f t="shared" si="80"/>
        <v>7599.7221031332638</v>
      </c>
      <c r="AI102" s="474">
        <f t="shared" si="81"/>
        <v>6437.6604656145792</v>
      </c>
      <c r="AJ102" s="474">
        <f t="shared" si="12"/>
        <v>2077.3097892951496</v>
      </c>
      <c r="AK102" s="474">
        <f t="shared" si="41"/>
        <v>21686.708099023388</v>
      </c>
      <c r="AL102" s="640">
        <f t="shared" si="13"/>
        <v>0</v>
      </c>
      <c r="AM102" s="100">
        <f t="shared" si="42"/>
        <v>0.25693229767920933</v>
      </c>
      <c r="AN102" s="100">
        <f t="shared" si="43"/>
        <v>0.35043225871037109</v>
      </c>
      <c r="AO102" s="100">
        <f t="shared" si="44"/>
        <v>0.29684820933724304</v>
      </c>
      <c r="AP102" s="100">
        <f t="shared" si="45"/>
        <v>9.5787234273176591E-2</v>
      </c>
      <c r="AQ102" s="100">
        <f t="shared" si="46"/>
        <v>1</v>
      </c>
      <c r="AR102" s="473">
        <f t="shared" si="14"/>
        <v>1019.135616310381</v>
      </c>
      <c r="AS102" s="474">
        <f t="shared" si="15"/>
        <v>1292.5396749805643</v>
      </c>
      <c r="AT102" s="474">
        <f t="shared" si="16"/>
        <v>398.45767442509401</v>
      </c>
      <c r="AU102" s="474">
        <f t="shared" si="17"/>
        <v>0</v>
      </c>
      <c r="AV102" s="474">
        <f t="shared" si="18"/>
        <v>0</v>
      </c>
      <c r="AW102" s="474">
        <f t="shared" si="19"/>
        <v>0</v>
      </c>
      <c r="AX102" s="474">
        <f t="shared" si="20"/>
        <v>1995.737645333661</v>
      </c>
      <c r="AY102" s="474">
        <f t="shared" si="21"/>
        <v>239.39101771219828</v>
      </c>
      <c r="AZ102" s="474">
        <f t="shared" si="22"/>
        <v>275.46553916225946</v>
      </c>
      <c r="BA102" s="474">
        <f t="shared" si="23"/>
        <v>271.76711827035427</v>
      </c>
      <c r="BB102" s="474">
        <f t="shared" si="24"/>
        <v>79.521454785883094</v>
      </c>
      <c r="BC102" s="475">
        <f t="shared" si="47"/>
        <v>5572.0157409803951</v>
      </c>
      <c r="BD102" s="647">
        <f t="shared" si="48"/>
        <v>0</v>
      </c>
      <c r="BE102" s="383">
        <f t="shared" si="49"/>
        <v>0.18290250130037577</v>
      </c>
      <c r="BF102" s="383">
        <f t="shared" si="50"/>
        <v>0.23196985347229873</v>
      </c>
      <c r="BG102" s="383">
        <f t="shared" si="51"/>
        <v>7.1510507677601337E-2</v>
      </c>
      <c r="BH102" s="383">
        <f t="shared" si="52"/>
        <v>0</v>
      </c>
      <c r="BI102" s="383">
        <f t="shared" si="53"/>
        <v>0</v>
      </c>
      <c r="BJ102" s="383">
        <f t="shared" si="54"/>
        <v>0</v>
      </c>
      <c r="BK102" s="383">
        <f t="shared" si="55"/>
        <v>0.51361713754972427</v>
      </c>
      <c r="BL102" s="383">
        <f t="shared" si="56"/>
        <v>1</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95.433860414271194</v>
      </c>
      <c r="BW102" s="100">
        <f t="shared" si="59"/>
        <v>0.51509093280146467</v>
      </c>
      <c r="BX102" s="1385">
        <f t="shared" si="25"/>
        <v>50.359792847133129</v>
      </c>
      <c r="BY102" s="473">
        <f t="shared" si="60"/>
        <v>95.433860414271194</v>
      </c>
      <c r="BZ102" s="100">
        <f t="shared" si="61"/>
        <v>0.51509093280146467</v>
      </c>
      <c r="CA102" s="489">
        <f t="shared" si="26"/>
        <v>50.359792847133129</v>
      </c>
      <c r="CB102" s="579">
        <f t="shared" si="27"/>
        <v>0.15764324460297707</v>
      </c>
      <c r="CC102" s="471">
        <f t="shared" si="62"/>
        <v>0.28726458187406279</v>
      </c>
      <c r="CD102" s="100">
        <f t="shared" si="28"/>
        <v>0.15764324460297707</v>
      </c>
      <c r="CE102" s="471">
        <f t="shared" si="63"/>
        <v>0.28726458187406279</v>
      </c>
      <c r="CG102" s="473">
        <f t="shared" si="64"/>
        <v>1438.4021088779325</v>
      </c>
      <c r="CH102" s="474">
        <f t="shared" si="65"/>
        <v>589.72002135125922</v>
      </c>
      <c r="CI102" s="474">
        <f t="shared" si="66"/>
        <v>2350.1302458356136</v>
      </c>
      <c r="CJ102" s="474">
        <f t="shared" si="67"/>
        <v>3180.3812883152686</v>
      </c>
      <c r="CK102" s="474">
        <f t="shared" si="68"/>
        <v>41.088438753189351</v>
      </c>
      <c r="CL102" s="474">
        <f t="shared" si="69"/>
        <v>7599.7221031332638</v>
      </c>
      <c r="CM102" s="576">
        <f t="shared" si="70"/>
        <v>0</v>
      </c>
    </row>
    <row r="103" spans="1:91">
      <c r="A103" s="89">
        <f>'Input data'!A123</f>
        <v>2023</v>
      </c>
      <c r="B103" s="152">
        <f>'Input data'!B123</f>
        <v>61.381040636574369</v>
      </c>
      <c r="C103" s="204">
        <f>'Input data'!C123</f>
        <v>4492.6346436826334</v>
      </c>
      <c r="D103" s="204">
        <f>'Input data'!D123</f>
        <v>48665382.683029473</v>
      </c>
      <c r="E103" s="579">
        <f t="shared" si="71"/>
        <v>0.84643076923076943</v>
      </c>
      <c r="F103" s="100">
        <f t="shared" si="72"/>
        <v>0.32543846153846145</v>
      </c>
      <c r="G103" s="475">
        <f>B103*F103*'Input data'!$C$9</f>
        <v>611.39963074599768</v>
      </c>
      <c r="H103" s="301">
        <f>'Input data'!I123</f>
        <v>424.26313389388866</v>
      </c>
      <c r="I103" s="474">
        <f>'Input data'!K123</f>
        <v>26041.712662141173</v>
      </c>
      <c r="J103" s="474">
        <f>($J$107-$J$102)/($A$107-$A$102)+J102</f>
        <v>5237.6947965215732</v>
      </c>
      <c r="K103" s="475">
        <f t="shared" si="73"/>
        <v>6864.3694979622578</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128.6946148561783</v>
      </c>
      <c r="R103" s="474">
        <f t="shared" si="32"/>
        <v>89.807102143687757</v>
      </c>
      <c r="S103" s="474">
        <f t="shared" si="33"/>
        <v>262.99238678786514</v>
      </c>
      <c r="T103" s="474">
        <f t="shared" si="34"/>
        <v>177.08260981849526</v>
      </c>
      <c r="U103" s="475">
        <f t="shared" si="35"/>
        <v>0</v>
      </c>
      <c r="V103" s="474">
        <f t="shared" si="9"/>
        <v>658.57671360622646</v>
      </c>
      <c r="W103" s="579">
        <f>($N$147-$N$142)/($A$107-$A$102)+W102</f>
        <v>0.5</v>
      </c>
      <c r="X103" s="475">
        <f t="shared" si="36"/>
        <v>3033.4854703020706</v>
      </c>
      <c r="Y103" s="474">
        <f t="shared" si="77"/>
        <v>3692.0621839082969</v>
      </c>
      <c r="Z103" s="474">
        <f t="shared" si="78"/>
        <v>8410.0021105755332</v>
      </c>
      <c r="AA103" s="475">
        <f t="shared" si="79"/>
        <v>3172.30731405396</v>
      </c>
      <c r="AB103" s="938">
        <f t="shared" si="37"/>
        <v>0.37720648251262628</v>
      </c>
      <c r="AC103" s="118" t="str">
        <f t="shared" si="38"/>
        <v>Yes</v>
      </c>
      <c r="AD103" s="938">
        <f t="shared" si="39"/>
        <v>0.37720648251262628</v>
      </c>
      <c r="AE103" s="579">
        <f t="shared" si="10"/>
        <v>0.17661362793734681</v>
      </c>
      <c r="AF103" s="475">
        <f t="shared" si="11"/>
        <v>349.33248261682064</v>
      </c>
      <c r="AG103" s="473">
        <f t="shared" si="40"/>
        <v>5237.6947965215732</v>
      </c>
      <c r="AH103" s="474">
        <f t="shared" si="80"/>
        <v>7796.9893950863434</v>
      </c>
      <c r="AI103" s="474">
        <f t="shared" si="81"/>
        <v>6437.6604656145792</v>
      </c>
      <c r="AJ103" s="474">
        <f t="shared" si="12"/>
        <v>1970.0466539559834</v>
      </c>
      <c r="AK103" s="474">
        <f t="shared" si="41"/>
        <v>21442.391311178479</v>
      </c>
      <c r="AL103" s="640">
        <f t="shared" si="13"/>
        <v>0</v>
      </c>
      <c r="AM103" s="100">
        <f t="shared" si="42"/>
        <v>0.24426822179068367</v>
      </c>
      <c r="AN103" s="100">
        <f t="shared" si="43"/>
        <v>0.36362499321713104</v>
      </c>
      <c r="AO103" s="100">
        <f t="shared" si="44"/>
        <v>0.30023052803156608</v>
      </c>
      <c r="AP103" s="100">
        <f t="shared" si="45"/>
        <v>9.1876256960619254E-2</v>
      </c>
      <c r="AQ103" s="100">
        <f t="shared" si="46"/>
        <v>1</v>
      </c>
      <c r="AR103" s="473">
        <f t="shared" si="14"/>
        <v>976.10205422369711</v>
      </c>
      <c r="AS103" s="474">
        <f t="shared" si="15"/>
        <v>1237.9614761004675</v>
      </c>
      <c r="AT103" s="474">
        <f t="shared" si="16"/>
        <v>364.52471174043808</v>
      </c>
      <c r="AU103" s="474">
        <f t="shared" si="17"/>
        <v>0</v>
      </c>
      <c r="AV103" s="474">
        <f t="shared" si="18"/>
        <v>0</v>
      </c>
      <c r="AW103" s="474">
        <f t="shared" si="19"/>
        <v>0</v>
      </c>
      <c r="AX103" s="474">
        <f t="shared" si="20"/>
        <v>1892.6865365120302</v>
      </c>
      <c r="AY103" s="474">
        <f t="shared" si="21"/>
        <v>217.70803893721899</v>
      </c>
      <c r="AZ103" s="474">
        <f t="shared" si="22"/>
        <v>233.94338542908716</v>
      </c>
      <c r="BA103" s="474">
        <f t="shared" si="23"/>
        <v>239.35327674628138</v>
      </c>
      <c r="BB103" s="474">
        <f t="shared" si="24"/>
        <v>75.415316832352445</v>
      </c>
      <c r="BC103" s="475">
        <f t="shared" si="47"/>
        <v>5237.6947965215732</v>
      </c>
      <c r="BD103" s="647">
        <f t="shared" si="48"/>
        <v>0</v>
      </c>
      <c r="BE103" s="383">
        <f t="shared" si="49"/>
        <v>0.18636100272049838</v>
      </c>
      <c r="BF103" s="383">
        <f t="shared" si="50"/>
        <v>0.23635616892427852</v>
      </c>
      <c r="BG103" s="383">
        <f t="shared" si="51"/>
        <v>6.9596401833593682E-2</v>
      </c>
      <c r="BH103" s="383">
        <f t="shared" si="52"/>
        <v>0</v>
      </c>
      <c r="BI103" s="383">
        <f t="shared" si="53"/>
        <v>0</v>
      </c>
      <c r="BJ103" s="383">
        <f t="shared" si="54"/>
        <v>0</v>
      </c>
      <c r="BK103" s="383">
        <f t="shared" si="55"/>
        <v>0.50768642652162943</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93.895881738038739</v>
      </c>
      <c r="BW103" s="100">
        <f t="shared" si="59"/>
        <v>0.53878834184779778</v>
      </c>
      <c r="BX103" s="1385">
        <f t="shared" si="25"/>
        <v>48.66538268302947</v>
      </c>
      <c r="BY103" s="473">
        <f t="shared" si="60"/>
        <v>93.895881738038739</v>
      </c>
      <c r="BZ103" s="100">
        <f t="shared" si="61"/>
        <v>0.53878834184779778</v>
      </c>
      <c r="CA103" s="489">
        <f t="shared" si="26"/>
        <v>48.66538268302947</v>
      </c>
      <c r="CB103" s="579">
        <f t="shared" si="27"/>
        <v>0.17661362793734681</v>
      </c>
      <c r="CC103" s="471">
        <f t="shared" si="62"/>
        <v>0.29462639386268963</v>
      </c>
      <c r="CD103" s="100">
        <f t="shared" si="28"/>
        <v>0.17661362793734681</v>
      </c>
      <c r="CE103" s="471">
        <f t="shared" si="63"/>
        <v>0.29462639386268963</v>
      </c>
      <c r="CG103" s="473">
        <f t="shared" si="64"/>
        <v>1476.4132204333737</v>
      </c>
      <c r="CH103" s="474">
        <f t="shared" si="65"/>
        <v>611.47800938120383</v>
      </c>
      <c r="CI103" s="474">
        <f t="shared" si="66"/>
        <v>2421.0221138343977</v>
      </c>
      <c r="CJ103" s="474">
        <f t="shared" si="67"/>
        <v>3246.5145133390856</v>
      </c>
      <c r="CK103" s="474">
        <f t="shared" si="68"/>
        <v>41.561538098281396</v>
      </c>
      <c r="CL103" s="474">
        <f t="shared" si="69"/>
        <v>7796.9893950863425</v>
      </c>
      <c r="CM103" s="576">
        <f t="shared" si="70"/>
        <v>0</v>
      </c>
    </row>
    <row r="104" spans="1:91">
      <c r="A104" s="89">
        <f>'Input data'!A124</f>
        <v>2024</v>
      </c>
      <c r="B104" s="152">
        <f>'Input data'!B124</f>
        <v>62.087792487153699</v>
      </c>
      <c r="C104" s="204">
        <f>'Input data'!C124</f>
        <v>4579.7873251148294</v>
      </c>
      <c r="D104" s="204">
        <f>'Input data'!D124</f>
        <v>48951332.662830688</v>
      </c>
      <c r="E104" s="579">
        <f t="shared" si="71"/>
        <v>0.868369230769231</v>
      </c>
      <c r="F104" s="100">
        <f t="shared" si="72"/>
        <v>0.33141153846153837</v>
      </c>
      <c r="G104" s="475">
        <f>B104*F104*'Input data'!$C$9</f>
        <v>629.79018860574899</v>
      </c>
      <c r="H104" s="301">
        <f>'Input data'!I124</f>
        <v>424.26313389388866</v>
      </c>
      <c r="I104" s="474">
        <f>'Input data'!K124</f>
        <v>26341.561417153265</v>
      </c>
      <c r="J104" s="474">
        <f t="shared" ref="J104:J106" si="84">($J$107-$J$102)/($A$107-$A$102)+J103</f>
        <v>4903.3738520627494</v>
      </c>
      <c r="K104" s="475">
        <f t="shared" si="73"/>
        <v>7338.035690518097</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151.87249789664475</v>
      </c>
      <c r="R104" s="474">
        <f t="shared" si="32"/>
        <v>105.98134931025186</v>
      </c>
      <c r="S104" s="474">
        <f t="shared" si="33"/>
        <v>310.35728071380254</v>
      </c>
      <c r="T104" s="474">
        <f t="shared" si="34"/>
        <v>208.97516432406155</v>
      </c>
      <c r="U104" s="475">
        <f t="shared" si="35"/>
        <v>0</v>
      </c>
      <c r="V104" s="474">
        <f t="shared" si="9"/>
        <v>777.18629224476069</v>
      </c>
      <c r="W104" s="579">
        <f>($N$147-$N$142)/($A$107-$A$102)+W103</f>
        <v>0.5</v>
      </c>
      <c r="X104" s="475">
        <f t="shared" si="36"/>
        <v>3033.4854703020706</v>
      </c>
      <c r="Y104" s="474">
        <f t="shared" si="77"/>
        <v>3810.6717625468314</v>
      </c>
      <c r="Z104" s="474">
        <f t="shared" si="78"/>
        <v>8430.7377800340146</v>
      </c>
      <c r="AA104" s="475">
        <f t="shared" si="79"/>
        <v>3527.3639279712652</v>
      </c>
      <c r="AB104" s="938">
        <f t="shared" si="37"/>
        <v>0.41839326758862067</v>
      </c>
      <c r="AC104" s="118" t="str">
        <f t="shared" si="38"/>
        <v>Yes</v>
      </c>
      <c r="AD104" s="938">
        <f t="shared" si="39"/>
        <v>0.41839326758862067</v>
      </c>
      <c r="AE104" s="579">
        <f t="shared" si="10"/>
        <v>0.19519681863773264</v>
      </c>
      <c r="AF104" s="475">
        <f t="shared" si="11"/>
        <v>341.44831989252719</v>
      </c>
      <c r="AG104" s="473">
        <f t="shared" si="40"/>
        <v>4903.3738520627494</v>
      </c>
      <c r="AH104" s="474">
        <f t="shared" si="80"/>
        <v>7997.7918841172905</v>
      </c>
      <c r="AI104" s="474">
        <f t="shared" si="81"/>
        <v>6437.6604656145792</v>
      </c>
      <c r="AJ104" s="474">
        <f t="shared" si="12"/>
        <v>1860.9462287798847</v>
      </c>
      <c r="AK104" s="474">
        <f t="shared" si="41"/>
        <v>21199.772430574503</v>
      </c>
      <c r="AL104" s="640">
        <f t="shared" si="13"/>
        <v>0</v>
      </c>
      <c r="AM104" s="100">
        <f t="shared" si="42"/>
        <v>0.23129370223762682</v>
      </c>
      <c r="AN104" s="100">
        <f t="shared" si="43"/>
        <v>0.37725838380146021</v>
      </c>
      <c r="AO104" s="100">
        <f t="shared" si="44"/>
        <v>0.3036664891897673</v>
      </c>
      <c r="AP104" s="100">
        <f t="shared" si="45"/>
        <v>8.7781424771145714E-2</v>
      </c>
      <c r="AQ104" s="100">
        <f t="shared" si="46"/>
        <v>1</v>
      </c>
      <c r="AR104" s="473">
        <f t="shared" si="14"/>
        <v>931.00179754693477</v>
      </c>
      <c r="AS104" s="474">
        <f t="shared" si="15"/>
        <v>1180.7621493635941</v>
      </c>
      <c r="AT104" s="474">
        <f t="shared" si="16"/>
        <v>331.71889252091779</v>
      </c>
      <c r="AU104" s="474">
        <f t="shared" si="17"/>
        <v>0</v>
      </c>
      <c r="AV104" s="474">
        <f t="shared" si="18"/>
        <v>0</v>
      </c>
      <c r="AW104" s="474">
        <f t="shared" si="19"/>
        <v>0</v>
      </c>
      <c r="AX104" s="474">
        <f t="shared" si="20"/>
        <v>1787.8702848542894</v>
      </c>
      <c r="AY104" s="474">
        <f t="shared" si="21"/>
        <v>196.84581352580756</v>
      </c>
      <c r="AZ104" s="474">
        <f t="shared" si="22"/>
        <v>195.20113597325712</v>
      </c>
      <c r="BA104" s="474">
        <f t="shared" si="23"/>
        <v>208.73493265488335</v>
      </c>
      <c r="BB104" s="474">
        <f t="shared" si="24"/>
        <v>71.238845623065188</v>
      </c>
      <c r="BC104" s="475">
        <f t="shared" si="47"/>
        <v>4903.3738520627503</v>
      </c>
      <c r="BD104" s="647">
        <f t="shared" si="48"/>
        <v>0</v>
      </c>
      <c r="BE104" s="383">
        <f t="shared" si="49"/>
        <v>0.18986963377374971</v>
      </c>
      <c r="BF104" s="383">
        <f t="shared" si="50"/>
        <v>0.24080606231296667</v>
      </c>
      <c r="BG104" s="383">
        <f t="shared" si="51"/>
        <v>6.76511525592466E-2</v>
      </c>
      <c r="BH104" s="383">
        <f t="shared" si="52"/>
        <v>0</v>
      </c>
      <c r="BI104" s="383">
        <f t="shared" si="53"/>
        <v>0</v>
      </c>
      <c r="BJ104" s="383">
        <f t="shared" si="54"/>
        <v>0</v>
      </c>
      <c r="BK104" s="383">
        <f t="shared" si="55"/>
        <v>0.50167315135403667</v>
      </c>
      <c r="BL104" s="383">
        <f t="shared" si="56"/>
        <v>0.99999999999999967</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94.386092219277771</v>
      </c>
      <c r="BW104" s="100">
        <f t="shared" si="59"/>
        <v>0.55585830214516707</v>
      </c>
      <c r="BX104" s="1385">
        <f t="shared" si="25"/>
        <v>48.951332662830687</v>
      </c>
      <c r="BY104" s="473">
        <f t="shared" si="60"/>
        <v>94.386092219277771</v>
      </c>
      <c r="BZ104" s="100">
        <f t="shared" si="61"/>
        <v>0.55585830214516707</v>
      </c>
      <c r="CA104" s="489">
        <f t="shared" si="26"/>
        <v>48.951332662830687</v>
      </c>
      <c r="CB104" s="579">
        <f t="shared" si="27"/>
        <v>0.19519681863773264</v>
      </c>
      <c r="CC104" s="471">
        <f t="shared" si="62"/>
        <v>0.29663005775103268</v>
      </c>
      <c r="CD104" s="100">
        <f t="shared" si="28"/>
        <v>0.19519681863773264</v>
      </c>
      <c r="CE104" s="471">
        <f t="shared" si="63"/>
        <v>0.29663005775103268</v>
      </c>
      <c r="CG104" s="473">
        <f t="shared" si="64"/>
        <v>1515.1089671117584</v>
      </c>
      <c r="CH104" s="474">
        <f t="shared" si="65"/>
        <v>633.65886502588842</v>
      </c>
      <c r="CI104" s="474">
        <f t="shared" si="66"/>
        <v>2493.2349329075432</v>
      </c>
      <c r="CJ104" s="474">
        <f t="shared" si="67"/>
        <v>3313.7490342815627</v>
      </c>
      <c r="CK104" s="474">
        <f t="shared" si="68"/>
        <v>42.040084790537726</v>
      </c>
      <c r="CL104" s="474">
        <f t="shared" si="69"/>
        <v>7997.7918841172905</v>
      </c>
      <c r="CM104" s="576">
        <f t="shared" si="70"/>
        <v>0</v>
      </c>
    </row>
    <row r="105" spans="1:91">
      <c r="A105" s="89">
        <f>'Input data'!A125</f>
        <v>2025</v>
      </c>
      <c r="B105" s="152">
        <f>'Input data'!B125</f>
        <v>62.802682000000026</v>
      </c>
      <c r="C105" s="204">
        <f>'Input data'!C125</f>
        <v>4678.6267528880244</v>
      </c>
      <c r="D105" s="204">
        <f>'Input data'!D125</f>
        <v>48538822.712079689</v>
      </c>
      <c r="E105" s="579">
        <f t="shared" si="71"/>
        <v>0.89030769230769258</v>
      </c>
      <c r="F105" s="100">
        <f t="shared" si="72"/>
        <v>0.33738461538461528</v>
      </c>
      <c r="G105" s="475">
        <f>B105*F105*'Input data'!$C$9</f>
        <v>648.52319354163239</v>
      </c>
      <c r="H105" s="301">
        <f>'Input data'!I125</f>
        <v>424.26313389388866</v>
      </c>
      <c r="I105" s="474">
        <f>'Input data'!K125</f>
        <v>26644.862682261322</v>
      </c>
      <c r="J105" s="474">
        <f t="shared" si="84"/>
        <v>4569.0529076039256</v>
      </c>
      <c r="K105" s="475">
        <f t="shared" si="73"/>
        <v>7813.3063282078183</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175.56706735725811</v>
      </c>
      <c r="R105" s="474">
        <f t="shared" si="32"/>
        <v>122.51615631968355</v>
      </c>
      <c r="S105" s="474">
        <f t="shared" si="33"/>
        <v>358.77804317788559</v>
      </c>
      <c r="T105" s="474">
        <f t="shared" si="34"/>
        <v>241.57867460535908</v>
      </c>
      <c r="U105" s="475">
        <f t="shared" si="35"/>
        <v>0</v>
      </c>
      <c r="V105" s="474">
        <f t="shared" si="9"/>
        <v>898.43994146018633</v>
      </c>
      <c r="W105" s="579">
        <f>($N$147-$N$142)/($A$107-$A$102)+W104</f>
        <v>0.5</v>
      </c>
      <c r="X105" s="475">
        <f t="shared" si="36"/>
        <v>3033.4854703020706</v>
      </c>
      <c r="Y105" s="474">
        <f t="shared" si="77"/>
        <v>3931.9254117622568</v>
      </c>
      <c r="Z105" s="474">
        <f t="shared" si="78"/>
        <v>8450.4338240494872</v>
      </c>
      <c r="AA105" s="475">
        <f t="shared" si="79"/>
        <v>3881.3809164455615</v>
      </c>
      <c r="AB105" s="938">
        <f t="shared" si="37"/>
        <v>0.459311438591396</v>
      </c>
      <c r="AC105" s="118" t="str">
        <f t="shared" si="38"/>
        <v>Yes</v>
      </c>
      <c r="AD105" s="938">
        <f t="shared" si="39"/>
        <v>0.459311438591396</v>
      </c>
      <c r="AE105" s="579">
        <f t="shared" si="10"/>
        <v>0.21340034507035144</v>
      </c>
      <c r="AF105" s="475">
        <f t="shared" si="11"/>
        <v>333.72523472030412</v>
      </c>
      <c r="AG105" s="473">
        <f t="shared" si="40"/>
        <v>4569.0529076039256</v>
      </c>
      <c r="AH105" s="474">
        <f t="shared" si="80"/>
        <v>8202.1848270207192</v>
      </c>
      <c r="AI105" s="474">
        <f t="shared" si="81"/>
        <v>6437.6604656145792</v>
      </c>
      <c r="AJ105" s="474">
        <f t="shared" si="12"/>
        <v>1749.9415912754064</v>
      </c>
      <c r="AK105" s="474">
        <f t="shared" si="41"/>
        <v>20958.839791514627</v>
      </c>
      <c r="AL105" s="640">
        <f t="shared" si="13"/>
        <v>0</v>
      </c>
      <c r="AM105" s="100">
        <f t="shared" si="42"/>
        <v>0.21800123256124831</v>
      </c>
      <c r="AN105" s="100">
        <f t="shared" si="43"/>
        <v>0.39134727440120265</v>
      </c>
      <c r="AO105" s="100">
        <f t="shared" si="44"/>
        <v>0.30715729160833238</v>
      </c>
      <c r="AP105" s="100">
        <f t="shared" si="45"/>
        <v>8.3494201429216791E-2</v>
      </c>
      <c r="AQ105" s="100">
        <f t="shared" si="46"/>
        <v>1</v>
      </c>
      <c r="AR105" s="473">
        <f t="shared" si="14"/>
        <v>883.793761908639</v>
      </c>
      <c r="AS105" s="474">
        <f t="shared" si="15"/>
        <v>1120.8895886721123</v>
      </c>
      <c r="AT105" s="474">
        <f t="shared" si="16"/>
        <v>300.06611594807072</v>
      </c>
      <c r="AU105" s="474">
        <f t="shared" si="17"/>
        <v>0</v>
      </c>
      <c r="AV105" s="474">
        <f t="shared" si="18"/>
        <v>0</v>
      </c>
      <c r="AW105" s="474">
        <f t="shared" si="19"/>
        <v>0</v>
      </c>
      <c r="AX105" s="474">
        <f t="shared" si="20"/>
        <v>1681.2245957924411</v>
      </c>
      <c r="AY105" s="474">
        <f t="shared" si="21"/>
        <v>176.82366036543934</v>
      </c>
      <c r="AZ105" s="474">
        <f t="shared" si="22"/>
        <v>159.30907465228333</v>
      </c>
      <c r="BA105" s="474">
        <f t="shared" si="23"/>
        <v>179.9566309654831</v>
      </c>
      <c r="BB105" s="474">
        <f t="shared" si="24"/>
        <v>66.989479299455425</v>
      </c>
      <c r="BC105" s="475">
        <f t="shared" si="47"/>
        <v>4569.0529076039238</v>
      </c>
      <c r="BD105" s="647">
        <f t="shared" si="48"/>
        <v>0</v>
      </c>
      <c r="BE105" s="383">
        <f t="shared" si="49"/>
        <v>0.19343040664681491</v>
      </c>
      <c r="BF105" s="383">
        <f t="shared" si="50"/>
        <v>0.24532208563545013</v>
      </c>
      <c r="BG105" s="383">
        <f t="shared" si="51"/>
        <v>6.5673591883493782E-2</v>
      </c>
      <c r="BH105" s="383">
        <f t="shared" si="52"/>
        <v>0</v>
      </c>
      <c r="BI105" s="383">
        <f t="shared" si="53"/>
        <v>0</v>
      </c>
      <c r="BJ105" s="383">
        <f t="shared" si="54"/>
        <v>0</v>
      </c>
      <c r="BK105" s="383">
        <f t="shared" si="55"/>
        <v>0.49557391583424132</v>
      </c>
      <c r="BL105" s="383">
        <f t="shared" si="56"/>
        <v>1.0000000000000002</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94.239453340824994</v>
      </c>
      <c r="BW105" s="100">
        <f t="shared" si="59"/>
        <v>0.57543432992476073</v>
      </c>
      <c r="BX105" s="1385">
        <f t="shared" si="25"/>
        <v>48.538822712079686</v>
      </c>
      <c r="BY105" s="473">
        <f t="shared" si="60"/>
        <v>94.239453340824994</v>
      </c>
      <c r="BZ105" s="100">
        <f t="shared" si="61"/>
        <v>0.57543432992476073</v>
      </c>
      <c r="CA105" s="489">
        <f t="shared" si="26"/>
        <v>48.538822712079686</v>
      </c>
      <c r="CB105" s="579">
        <f t="shared" si="27"/>
        <v>0.21340034507035144</v>
      </c>
      <c r="CC105" s="471">
        <f t="shared" si="62"/>
        <v>0.30094157176700709</v>
      </c>
      <c r="CD105" s="100">
        <f t="shared" si="28"/>
        <v>0.21340034507035144</v>
      </c>
      <c r="CE105" s="471">
        <f t="shared" si="63"/>
        <v>0.30094157176700709</v>
      </c>
      <c r="CG105" s="473">
        <f t="shared" si="64"/>
        <v>1554.5000755590524</v>
      </c>
      <c r="CH105" s="474">
        <f t="shared" si="65"/>
        <v>656.26944163572841</v>
      </c>
      <c r="CI105" s="474">
        <f t="shared" si="66"/>
        <v>2566.7897237992397</v>
      </c>
      <c r="CJ105" s="474">
        <f t="shared" si="67"/>
        <v>3382.1014444750476</v>
      </c>
      <c r="CK105" s="474">
        <f t="shared" si="68"/>
        <v>42.524141551649727</v>
      </c>
      <c r="CL105" s="474">
        <f t="shared" si="69"/>
        <v>8202.1848270207174</v>
      </c>
      <c r="CM105" s="576">
        <f t="shared" si="70"/>
        <v>0</v>
      </c>
    </row>
    <row r="106" spans="1:91">
      <c r="A106" s="89">
        <f>'Input data'!A126</f>
        <v>2026</v>
      </c>
      <c r="B106" s="152">
        <f>'Input data'!B126</f>
        <v>63.421065342005143</v>
      </c>
      <c r="C106" s="204">
        <f>'Input data'!C126</f>
        <v>4782.707139404285</v>
      </c>
      <c r="D106" s="204">
        <f>'Input data'!D126</f>
        <v>47372560.213695109</v>
      </c>
      <c r="E106" s="579">
        <f t="shared" si="71"/>
        <v>0.91224615384615415</v>
      </c>
      <c r="F106" s="100">
        <f t="shared" si="72"/>
        <v>0.3433576923076922</v>
      </c>
      <c r="G106" s="475">
        <f>B106*F106*'Input data'!$C$9</f>
        <v>666.50338782740016</v>
      </c>
      <c r="H106" s="301">
        <f>'Input data'!I126</f>
        <v>424.26313389388866</v>
      </c>
      <c r="I106" s="474">
        <f>'Input data'!K126</f>
        <v>26907.219936888188</v>
      </c>
      <c r="J106" s="474">
        <f t="shared" si="84"/>
        <v>4234.7319631451019</v>
      </c>
      <c r="K106" s="475">
        <f t="shared" si="73"/>
        <v>8269.5495288873099</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199.45775177427959</v>
      </c>
      <c r="R106" s="474">
        <f t="shared" si="32"/>
        <v>139.18781844105331</v>
      </c>
      <c r="S106" s="474">
        <f t="shared" si="33"/>
        <v>407.5995740853723</v>
      </c>
      <c r="T106" s="474">
        <f t="shared" si="34"/>
        <v>274.45203726815635</v>
      </c>
      <c r="U106" s="475">
        <f t="shared" si="35"/>
        <v>0</v>
      </c>
      <c r="V106" s="474">
        <f t="shared" si="9"/>
        <v>1020.6971815688615</v>
      </c>
      <c r="W106" s="579">
        <f>($N$147-$N$142)/($A$107-$A$102)+W105</f>
        <v>0.5</v>
      </c>
      <c r="X106" s="475">
        <f t="shared" si="36"/>
        <v>3033.4854703020706</v>
      </c>
      <c r="Y106" s="474">
        <f t="shared" si="77"/>
        <v>4054.1826518709322</v>
      </c>
      <c r="Z106" s="474">
        <f t="shared" si="78"/>
        <v>8450.0988401614813</v>
      </c>
      <c r="AA106" s="475">
        <f t="shared" si="79"/>
        <v>4215.3668770163795</v>
      </c>
      <c r="AB106" s="938">
        <f t="shared" si="37"/>
        <v>0.49885415031853331</v>
      </c>
      <c r="AC106" s="118" t="str">
        <f t="shared" si="38"/>
        <v>Yes</v>
      </c>
      <c r="AD106" s="938">
        <f t="shared" si="39"/>
        <v>0.49885415031853331</v>
      </c>
      <c r="AE106" s="579">
        <f t="shared" si="10"/>
        <v>0.23044140465623386</v>
      </c>
      <c r="AF106" s="475">
        <f t="shared" si="11"/>
        <v>326.49534137552507</v>
      </c>
      <c r="AG106" s="473">
        <f t="shared" si="40"/>
        <v>4234.7319631451019</v>
      </c>
      <c r="AH106" s="474">
        <f t="shared" si="80"/>
        <v>8396.3580112842246</v>
      </c>
      <c r="AI106" s="474">
        <f t="shared" si="81"/>
        <v>6437.6604656145792</v>
      </c>
      <c r="AJ106" s="474">
        <f t="shared" si="12"/>
        <v>1637.9319391935446</v>
      </c>
      <c r="AK106" s="474">
        <f t="shared" si="41"/>
        <v>20706.682379237453</v>
      </c>
      <c r="AL106" s="640">
        <f t="shared" si="13"/>
        <v>0</v>
      </c>
      <c r="AM106" s="100">
        <f t="shared" si="42"/>
        <v>0.20451040324022446</v>
      </c>
      <c r="AN106" s="100">
        <f t="shared" si="43"/>
        <v>0.40549025949725465</v>
      </c>
      <c r="AO106" s="100">
        <f t="shared" si="44"/>
        <v>0.31089772604372434</v>
      </c>
      <c r="AP106" s="100">
        <f t="shared" si="45"/>
        <v>7.9101611218796483E-2</v>
      </c>
      <c r="AQ106" s="100">
        <f t="shared" si="46"/>
        <v>0.99999999999999989</v>
      </c>
      <c r="AR106" s="473">
        <f t="shared" si="14"/>
        <v>833.82339101172897</v>
      </c>
      <c r="AS106" s="474">
        <f t="shared" si="15"/>
        <v>1057.5136395598799</v>
      </c>
      <c r="AT106" s="474">
        <f t="shared" si="16"/>
        <v>269.75320797639517</v>
      </c>
      <c r="AU106" s="474">
        <f t="shared" si="17"/>
        <v>0</v>
      </c>
      <c r="AV106" s="474">
        <f t="shared" si="18"/>
        <v>0</v>
      </c>
      <c r="AW106" s="474">
        <f t="shared" si="19"/>
        <v>0</v>
      </c>
      <c r="AX106" s="474">
        <f t="shared" si="20"/>
        <v>1573.6133572316546</v>
      </c>
      <c r="AY106" s="474">
        <f t="shared" si="21"/>
        <v>157.75521557479439</v>
      </c>
      <c r="AZ106" s="474">
        <f t="shared" si="22"/>
        <v>126.41575988277421</v>
      </c>
      <c r="BA106" s="474">
        <f t="shared" si="23"/>
        <v>153.15575187510333</v>
      </c>
      <c r="BB106" s="474">
        <f t="shared" si="24"/>
        <v>62.701640032769753</v>
      </c>
      <c r="BC106" s="475">
        <f t="shared" si="47"/>
        <v>4234.7319631451001</v>
      </c>
      <c r="BD106" s="647">
        <f t="shared" si="48"/>
        <v>0</v>
      </c>
      <c r="BE106" s="383">
        <f t="shared" si="49"/>
        <v>0.19690110218745824</v>
      </c>
      <c r="BF106" s="383">
        <f t="shared" si="50"/>
        <v>0.24972386653120623</v>
      </c>
      <c r="BG106" s="383">
        <f t="shared" si="51"/>
        <v>6.3700184645464952E-2</v>
      </c>
      <c r="BH106" s="383">
        <f t="shared" si="52"/>
        <v>0</v>
      </c>
      <c r="BI106" s="383">
        <f t="shared" si="53"/>
        <v>0</v>
      </c>
      <c r="BJ106" s="383">
        <f t="shared" si="54"/>
        <v>0</v>
      </c>
      <c r="BK106" s="383">
        <f t="shared" si="55"/>
        <v>0.48967484663587058</v>
      </c>
      <c r="BL106" s="383">
        <f t="shared" si="56"/>
        <v>1</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93.354710398498881</v>
      </c>
      <c r="BW106" s="100">
        <f t="shared" si="59"/>
        <v>0.59732501516725145</v>
      </c>
      <c r="BX106" s="1385">
        <f t="shared" si="25"/>
        <v>47.37256021369511</v>
      </c>
      <c r="BY106" s="473">
        <f t="shared" si="60"/>
        <v>93.354710398498881</v>
      </c>
      <c r="BZ106" s="100">
        <f t="shared" si="61"/>
        <v>0.59732501516725145</v>
      </c>
      <c r="CA106" s="489">
        <f t="shared" si="26"/>
        <v>47.37256021369511</v>
      </c>
      <c r="CB106" s="579">
        <f t="shared" si="27"/>
        <v>0.23044140465623386</v>
      </c>
      <c r="CC106" s="471">
        <f t="shared" si="62"/>
        <v>0.30754375164867309</v>
      </c>
      <c r="CD106" s="100">
        <f t="shared" si="28"/>
        <v>0.23044140465623386</v>
      </c>
      <c r="CE106" s="471">
        <f t="shared" si="63"/>
        <v>0.30754375164867309</v>
      </c>
      <c r="CG106" s="473">
        <f t="shared" si="64"/>
        <v>1591.9683521243355</v>
      </c>
      <c r="CH106" s="474">
        <f t="shared" si="65"/>
        <v>678.19667772096068</v>
      </c>
      <c r="CI106" s="474">
        <f t="shared" si="66"/>
        <v>2637.3523268833728</v>
      </c>
      <c r="CJ106" s="474">
        <f t="shared" si="67"/>
        <v>3445.8978012557582</v>
      </c>
      <c r="CK106" s="474">
        <f t="shared" si="68"/>
        <v>42.942853299797797</v>
      </c>
      <c r="CL106" s="474">
        <f t="shared" si="69"/>
        <v>8396.3580112842246</v>
      </c>
      <c r="CM106" s="576">
        <f t="shared" si="70"/>
        <v>0</v>
      </c>
    </row>
    <row r="107" spans="1:91" s="1" customFormat="1">
      <c r="A107" s="89">
        <f>'Input data'!A127</f>
        <v>2027</v>
      </c>
      <c r="B107" s="152">
        <f>'Input data'!B127</f>
        <v>64.045537563425796</v>
      </c>
      <c r="C107" s="204">
        <f>'Input data'!C127</f>
        <v>4895.4664822406658</v>
      </c>
      <c r="D107" s="204">
        <f>'Input data'!D127</f>
        <v>47544656.205152296</v>
      </c>
      <c r="E107" s="579">
        <f t="shared" si="71"/>
        <v>0.93418461538461572</v>
      </c>
      <c r="F107" s="100">
        <f t="shared" si="72"/>
        <v>0.34933076923076911</v>
      </c>
      <c r="G107" s="475">
        <f>B107*F107*'Input data'!$C$9</f>
        <v>684.77478823938122</v>
      </c>
      <c r="H107" s="301">
        <f>'Input data'!I127</f>
        <v>424.26313389388866</v>
      </c>
      <c r="I107" s="474">
        <f>'Input data'!K127</f>
        <v>27172.160478577796</v>
      </c>
      <c r="J107" s="474">
        <f>J97*(1-$G$5)</f>
        <v>3900.4110186862777</v>
      </c>
      <c r="K107" s="475">
        <f t="shared" si="73"/>
        <v>8726.9932307216241</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223.80189128168513</v>
      </c>
      <c r="R107" s="474">
        <f t="shared" si="32"/>
        <v>156.17591561811867</v>
      </c>
      <c r="S107" s="474">
        <f t="shared" si="33"/>
        <v>457.34775788081924</v>
      </c>
      <c r="T107" s="474">
        <f t="shared" si="34"/>
        <v>307.94934997680866</v>
      </c>
      <c r="U107" s="475">
        <f t="shared" si="35"/>
        <v>0</v>
      </c>
      <c r="V107" s="474">
        <f t="shared" si="9"/>
        <v>1145.2749147574318</v>
      </c>
      <c r="W107" s="579">
        <f>$C$27</f>
        <v>0.5</v>
      </c>
      <c r="X107" s="475">
        <f t="shared" si="36"/>
        <v>3033.4854703020706</v>
      </c>
      <c r="Y107" s="474">
        <f t="shared" si="77"/>
        <v>4178.7603850595024</v>
      </c>
      <c r="Z107" s="474">
        <f t="shared" si="78"/>
        <v>8448.6438643483998</v>
      </c>
      <c r="AA107" s="475">
        <f t="shared" si="79"/>
        <v>4548.2328456621217</v>
      </c>
      <c r="AB107" s="938">
        <f t="shared" si="37"/>
        <v>0.53833880545666757</v>
      </c>
      <c r="AC107" s="118" t="str">
        <f t="shared" si="38"/>
        <v>Yes</v>
      </c>
      <c r="AD107" s="938">
        <f t="shared" si="39"/>
        <v>0.53833880545666757</v>
      </c>
      <c r="AE107" s="579">
        <f t="shared" si="10"/>
        <v>0.24719384179753368</v>
      </c>
      <c r="AF107" s="475">
        <f t="shared" si="11"/>
        <v>319.38789989359691</v>
      </c>
      <c r="AG107" s="473">
        <f t="shared" si="40"/>
        <v>3900.4110186862777</v>
      </c>
      <c r="AH107" s="474">
        <f t="shared" si="80"/>
        <v>8593.5598052314726</v>
      </c>
      <c r="AI107" s="474">
        <f t="shared" si="81"/>
        <v>6437.6604656145792</v>
      </c>
      <c r="AJ107" s="474">
        <f t="shared" si="12"/>
        <v>1523.7384504067129</v>
      </c>
      <c r="AK107" s="474">
        <f t="shared" si="41"/>
        <v>20455.36973993904</v>
      </c>
      <c r="AL107" s="640">
        <f t="shared" si="13"/>
        <v>0</v>
      </c>
      <c r="AM107" s="100">
        <f t="shared" si="42"/>
        <v>0.19067907685240901</v>
      </c>
      <c r="AN107" s="100">
        <f t="shared" si="43"/>
        <v>0.42011266061119279</v>
      </c>
      <c r="AO107" s="100">
        <f t="shared" si="44"/>
        <v>0.31471738460171017</v>
      </c>
      <c r="AP107" s="100">
        <f t="shared" si="45"/>
        <v>7.4490877934688157E-2</v>
      </c>
      <c r="AQ107" s="100">
        <f t="shared" si="46"/>
        <v>1.0000000000000002</v>
      </c>
      <c r="AR107" s="473">
        <f t="shared" si="14"/>
        <v>781.77006592112741</v>
      </c>
      <c r="AS107" s="474">
        <f t="shared" si="15"/>
        <v>991.49594101467198</v>
      </c>
      <c r="AT107" s="474">
        <f t="shared" si="16"/>
        <v>240.61446429666105</v>
      </c>
      <c r="AU107" s="474">
        <f t="shared" si="17"/>
        <v>0</v>
      </c>
      <c r="AV107" s="474">
        <f t="shared" si="18"/>
        <v>0</v>
      </c>
      <c r="AW107" s="474">
        <f t="shared" si="19"/>
        <v>0</v>
      </c>
      <c r="AX107" s="474">
        <f t="shared" si="20"/>
        <v>1463.9040372263819</v>
      </c>
      <c r="AY107" s="474">
        <f t="shared" si="21"/>
        <v>139.54678704642032</v>
      </c>
      <c r="AZ107" s="474">
        <f t="shared" si="22"/>
        <v>96.488323147320216</v>
      </c>
      <c r="BA107" s="474">
        <f t="shared" si="23"/>
        <v>128.26119867713939</v>
      </c>
      <c r="BB107" s="474">
        <f t="shared" si="24"/>
        <v>58.33020135655503</v>
      </c>
      <c r="BC107" s="475">
        <f t="shared" si="47"/>
        <v>3900.4110186862772</v>
      </c>
      <c r="BD107" s="647">
        <f t="shared" si="48"/>
        <v>0</v>
      </c>
      <c r="BE107" s="383">
        <f t="shared" si="49"/>
        <v>0.20043273956918531</v>
      </c>
      <c r="BF107" s="383">
        <f t="shared" si="50"/>
        <v>0.25420293816845596</v>
      </c>
      <c r="BG107" s="383">
        <f t="shared" si="51"/>
        <v>6.1689515064928716E-2</v>
      </c>
      <c r="BH107" s="383">
        <f t="shared" si="52"/>
        <v>0</v>
      </c>
      <c r="BI107" s="383">
        <f t="shared" si="53"/>
        <v>0</v>
      </c>
      <c r="BJ107" s="383">
        <f t="shared" si="54"/>
        <v>0</v>
      </c>
      <c r="BK107" s="383">
        <f t="shared" si="55"/>
        <v>0.48367480719743011</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93.853672466654629</v>
      </c>
      <c r="BW107" s="100">
        <f t="shared" si="59"/>
        <v>0.61492556319430869</v>
      </c>
      <c r="BX107" s="1385">
        <f t="shared" si="25"/>
        <v>47.544656205152293</v>
      </c>
      <c r="BY107" s="473">
        <f t="shared" si="60"/>
        <v>93.853672466654629</v>
      </c>
      <c r="BZ107" s="100">
        <f t="shared" si="61"/>
        <v>0.61492556319430869</v>
      </c>
      <c r="CA107" s="489">
        <f t="shared" si="26"/>
        <v>47.544656205152293</v>
      </c>
      <c r="CB107" s="579">
        <f t="shared" si="27"/>
        <v>0.24719384179753368</v>
      </c>
      <c r="CC107" s="471">
        <f t="shared" si="62"/>
        <v>0.31044005724397417</v>
      </c>
      <c r="CD107" s="100">
        <f t="shared" si="28"/>
        <v>0.24719384179753368</v>
      </c>
      <c r="CE107" s="471">
        <f t="shared" si="63"/>
        <v>0.31044005724397417</v>
      </c>
      <c r="CG107" s="473">
        <f t="shared" si="64"/>
        <v>1630.0237748349339</v>
      </c>
      <c r="CH107" s="474">
        <f t="shared" si="65"/>
        <v>700.49209759758685</v>
      </c>
      <c r="CI107" s="474">
        <f t="shared" si="66"/>
        <v>2709.0556551919217</v>
      </c>
      <c r="CJ107" s="474">
        <f t="shared" si="67"/>
        <v>3510.6225897356312</v>
      </c>
      <c r="CK107" s="474">
        <f t="shared" si="68"/>
        <v>43.365687871397228</v>
      </c>
      <c r="CL107" s="474">
        <f t="shared" si="69"/>
        <v>8593.5598052314708</v>
      </c>
      <c r="CM107" s="576">
        <f t="shared" si="70"/>
        <v>0</v>
      </c>
    </row>
    <row r="108" spans="1:91">
      <c r="A108" s="89">
        <f>'Input data'!A128</f>
        <v>2028</v>
      </c>
      <c r="B108" s="152">
        <f>'Input data'!B128</f>
        <v>64.676158618096451</v>
      </c>
      <c r="C108" s="204">
        <f>'Input data'!C128</f>
        <v>5007.2618284439486</v>
      </c>
      <c r="D108" s="204">
        <f>'Input data'!D128</f>
        <v>47264829.111875661</v>
      </c>
      <c r="E108" s="579">
        <f t="shared" si="71"/>
        <v>0.9561230769230773</v>
      </c>
      <c r="F108" s="100">
        <f t="shared" si="72"/>
        <v>0.35530384615384603</v>
      </c>
      <c r="G108" s="475">
        <f>B108*F108*'Input data'!$C$9</f>
        <v>703.34138624405773</v>
      </c>
      <c r="H108" s="301">
        <f>'Input data'!I128</f>
        <v>424.26313389388866</v>
      </c>
      <c r="I108" s="474">
        <f>'Input data'!K128</f>
        <v>27439.709743531836</v>
      </c>
      <c r="J108" s="474">
        <f>($J$112-$J$107)/($A$112-$A$107)+J107</f>
        <v>3566.0900742274539</v>
      </c>
      <c r="K108" s="475">
        <f t="shared" si="73"/>
        <v>9185.6492543829336</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248.60609946091267</v>
      </c>
      <c r="R108" s="474">
        <f t="shared" si="32"/>
        <v>173.48506301356042</v>
      </c>
      <c r="S108" s="474">
        <f t="shared" si="33"/>
        <v>508.03610967182613</v>
      </c>
      <c r="T108" s="474">
        <f t="shared" si="34"/>
        <v>342.07971295872221</v>
      </c>
      <c r="U108" s="475">
        <f t="shared" si="35"/>
        <v>0</v>
      </c>
      <c r="V108" s="474">
        <f t="shared" si="9"/>
        <v>1272.2069851050214</v>
      </c>
      <c r="W108" s="579">
        <f>W107</f>
        <v>0.5</v>
      </c>
      <c r="X108" s="475">
        <f t="shared" si="36"/>
        <v>3033.4854703020706</v>
      </c>
      <c r="Y108" s="474">
        <f t="shared" si="77"/>
        <v>4305.692455407092</v>
      </c>
      <c r="Z108" s="474">
        <f t="shared" si="78"/>
        <v>8446.046873203295</v>
      </c>
      <c r="AA108" s="475">
        <f t="shared" si="79"/>
        <v>4879.9567989758416</v>
      </c>
      <c r="AB108" s="938">
        <f t="shared" si="37"/>
        <v>0.57777998065088187</v>
      </c>
      <c r="AC108" s="118" t="str">
        <f t="shared" si="38"/>
        <v>Yes</v>
      </c>
      <c r="AD108" s="938">
        <f t="shared" si="39"/>
        <v>0.57777998065088187</v>
      </c>
      <c r="AE108" s="579">
        <f t="shared" si="10"/>
        <v>0.26366335378378059</v>
      </c>
      <c r="AF108" s="475">
        <f t="shared" si="11"/>
        <v>312.40049312460883</v>
      </c>
      <c r="AG108" s="473">
        <f t="shared" si="40"/>
        <v>3566.0900742274539</v>
      </c>
      <c r="AH108" s="474">
        <f t="shared" si="80"/>
        <v>8793.8310253748859</v>
      </c>
      <c r="AI108" s="474">
        <f t="shared" si="81"/>
        <v>6437.6604656145792</v>
      </c>
      <c r="AJ108" s="474">
        <f t="shared" si="12"/>
        <v>1407.2822804818311</v>
      </c>
      <c r="AK108" s="474">
        <f t="shared" si="41"/>
        <v>20204.86384569875</v>
      </c>
      <c r="AL108" s="640">
        <f t="shared" si="13"/>
        <v>0</v>
      </c>
      <c r="AM108" s="100">
        <f t="shared" si="42"/>
        <v>0.17649661494683172</v>
      </c>
      <c r="AN108" s="100">
        <f t="shared" si="43"/>
        <v>0.43523337214900032</v>
      </c>
      <c r="AO108" s="100">
        <f t="shared" si="44"/>
        <v>0.31861934407368159</v>
      </c>
      <c r="AP108" s="100">
        <f t="shared" si="45"/>
        <v>6.9650668830486373E-2</v>
      </c>
      <c r="AQ108" s="100">
        <f t="shared" si="46"/>
        <v>1</v>
      </c>
      <c r="AR108" s="473">
        <f t="shared" si="14"/>
        <v>727.5808817642037</v>
      </c>
      <c r="AS108" s="474">
        <f t="shared" si="15"/>
        <v>922.76939534528663</v>
      </c>
      <c r="AT108" s="474">
        <f t="shared" si="16"/>
        <v>212.68239320588384</v>
      </c>
      <c r="AU108" s="474">
        <f t="shared" si="17"/>
        <v>0</v>
      </c>
      <c r="AV108" s="474">
        <f t="shared" si="18"/>
        <v>0</v>
      </c>
      <c r="AW108" s="474">
        <f t="shared" si="19"/>
        <v>0</v>
      </c>
      <c r="AX108" s="474">
        <f t="shared" si="20"/>
        <v>1352.0208874197656</v>
      </c>
      <c r="AY108" s="474">
        <f t="shared" si="21"/>
        <v>122.22252761803277</v>
      </c>
      <c r="AZ108" s="474">
        <f t="shared" si="22"/>
        <v>69.613646514132711</v>
      </c>
      <c r="BA108" s="474">
        <f t="shared" si="23"/>
        <v>105.32819733151315</v>
      </c>
      <c r="BB108" s="474">
        <f t="shared" si="24"/>
        <v>53.872145028634442</v>
      </c>
      <c r="BC108" s="475">
        <f t="shared" si="47"/>
        <v>3566.090074227453</v>
      </c>
      <c r="BD108" s="647">
        <f t="shared" si="48"/>
        <v>0</v>
      </c>
      <c r="BE108" s="383">
        <f t="shared" si="49"/>
        <v>0.20402762314460737</v>
      </c>
      <c r="BF108" s="383">
        <f t="shared" si="50"/>
        <v>0.25876222308972174</v>
      </c>
      <c r="BG108" s="383">
        <f t="shared" si="51"/>
        <v>5.9640219057551069E-2</v>
      </c>
      <c r="BH108" s="383">
        <f t="shared" si="52"/>
        <v>0</v>
      </c>
      <c r="BI108" s="383">
        <f t="shared" si="53"/>
        <v>0</v>
      </c>
      <c r="BJ108" s="383">
        <f t="shared" si="54"/>
        <v>0</v>
      </c>
      <c r="BK108" s="383">
        <f t="shared" si="55"/>
        <v>0.47756993470811976</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93.896575258065937</v>
      </c>
      <c r="BW108" s="100">
        <f t="shared" si="59"/>
        <v>0.63378805685965334</v>
      </c>
      <c r="BX108" s="1385">
        <f t="shared" si="25"/>
        <v>47.264829111875663</v>
      </c>
      <c r="BY108" s="473">
        <f t="shared" si="60"/>
        <v>93.896575258065937</v>
      </c>
      <c r="BZ108" s="100">
        <f t="shared" si="61"/>
        <v>0.63378805685965334</v>
      </c>
      <c r="CA108" s="489">
        <f t="shared" si="26"/>
        <v>47.264829111875663</v>
      </c>
      <c r="CB108" s="579">
        <f t="shared" si="27"/>
        <v>0.26366335378378059</v>
      </c>
      <c r="CC108" s="471">
        <f t="shared" si="62"/>
        <v>0.31454304981852543</v>
      </c>
      <c r="CD108" s="100">
        <f t="shared" si="28"/>
        <v>0.26366335378378059</v>
      </c>
      <c r="CE108" s="471">
        <f t="shared" si="63"/>
        <v>0.31454304981852543</v>
      </c>
      <c r="CG108" s="473">
        <f t="shared" si="64"/>
        <v>1668.6742736543031</v>
      </c>
      <c r="CH108" s="474">
        <f t="shared" si="65"/>
        <v>723.16082596952128</v>
      </c>
      <c r="CI108" s="474">
        <f t="shared" si="66"/>
        <v>2781.9153316846123</v>
      </c>
      <c r="CJ108" s="474">
        <f t="shared" si="67"/>
        <v>3576.2879082048339</v>
      </c>
      <c r="CK108" s="474">
        <f t="shared" si="68"/>
        <v>43.792685861614679</v>
      </c>
      <c r="CL108" s="474">
        <f t="shared" si="69"/>
        <v>8793.8310253748841</v>
      </c>
      <c r="CM108" s="576">
        <f t="shared" si="70"/>
        <v>0</v>
      </c>
    </row>
    <row r="109" spans="1:91">
      <c r="A109" s="89">
        <f>'Input data'!A129</f>
        <v>2029</v>
      </c>
      <c r="B109" s="152">
        <f>'Input data'!B129</f>
        <v>65.31298905018393</v>
      </c>
      <c r="C109" s="204">
        <f>'Input data'!C129</f>
        <v>5127.4326756514902</v>
      </c>
      <c r="D109" s="204">
        <f>'Input data'!D129</f>
        <v>45911028.865820996</v>
      </c>
      <c r="E109" s="579">
        <f t="shared" si="71"/>
        <v>0.97806153846153887</v>
      </c>
      <c r="F109" s="100">
        <f t="shared" si="72"/>
        <v>0.36127692307692294</v>
      </c>
      <c r="G109" s="475">
        <f>B109*F109*'Input data'!$C$9</f>
        <v>722.20722367827375</v>
      </c>
      <c r="H109" s="301">
        <f>'Input data'!I129</f>
        <v>424.26313389388866</v>
      </c>
      <c r="I109" s="474">
        <f>'Input data'!K129</f>
        <v>27709.893418408268</v>
      </c>
      <c r="J109" s="474">
        <f t="shared" ref="J109:J111" si="85">($J$112-$J$107)/($A$112-$A$107)+J108</f>
        <v>3231.7691297686301</v>
      </c>
      <c r="K109" s="475">
        <f t="shared" si="73"/>
        <v>9645.5295369350624</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273.87707617034994</v>
      </c>
      <c r="R109" s="474">
        <f t="shared" si="32"/>
        <v>191.11993599679636</v>
      </c>
      <c r="S109" s="474">
        <f t="shared" si="33"/>
        <v>559.67832087625584</v>
      </c>
      <c r="T109" s="474">
        <f t="shared" si="34"/>
        <v>376.85234515759566</v>
      </c>
      <c r="U109" s="475">
        <f t="shared" si="35"/>
        <v>0</v>
      </c>
      <c r="V109" s="474">
        <f t="shared" si="9"/>
        <v>1401.5276782009978</v>
      </c>
      <c r="W109" s="579">
        <f t="shared" ref="W109:W130" si="86">W108</f>
        <v>0.5</v>
      </c>
      <c r="X109" s="475">
        <f t="shared" si="36"/>
        <v>3033.4854703020706</v>
      </c>
      <c r="Y109" s="474">
        <f t="shared" si="77"/>
        <v>4435.0131485030688</v>
      </c>
      <c r="Z109" s="474">
        <f t="shared" si="78"/>
        <v>8442.2855182006242</v>
      </c>
      <c r="AA109" s="475">
        <f t="shared" si="79"/>
        <v>5210.5163884319936</v>
      </c>
      <c r="AB109" s="938">
        <f t="shared" si="37"/>
        <v>0.61719262837044575</v>
      </c>
      <c r="AC109" s="118" t="str">
        <f t="shared" si="38"/>
        <v>Yes</v>
      </c>
      <c r="AD109" s="938">
        <f t="shared" si="39"/>
        <v>0.61719262837044575</v>
      </c>
      <c r="AE109" s="579">
        <f t="shared" si="10"/>
        <v>0.27985563375052358</v>
      </c>
      <c r="AF109" s="475">
        <f t="shared" si="11"/>
        <v>305.53070568103118</v>
      </c>
      <c r="AG109" s="473">
        <f t="shared" si="40"/>
        <v>3231.7691297686301</v>
      </c>
      <c r="AH109" s="474">
        <f t="shared" si="80"/>
        <v>8997.2129983908544</v>
      </c>
      <c r="AI109" s="474">
        <f t="shared" si="81"/>
        <v>6437.6604656145792</v>
      </c>
      <c r="AJ109" s="474">
        <f t="shared" si="12"/>
        <v>1288.4810408660949</v>
      </c>
      <c r="AK109" s="474">
        <f t="shared" si="41"/>
        <v>19955.12363464016</v>
      </c>
      <c r="AL109" s="640">
        <f t="shared" si="13"/>
        <v>0</v>
      </c>
      <c r="AM109" s="100">
        <f t="shared" si="42"/>
        <v>0.161951847001268</v>
      </c>
      <c r="AN109" s="100">
        <f t="shared" si="43"/>
        <v>0.45087232547998674</v>
      </c>
      <c r="AO109" s="100">
        <f t="shared" si="44"/>
        <v>0.32260689452404218</v>
      </c>
      <c r="AP109" s="100">
        <f t="shared" si="45"/>
        <v>6.456893299470301E-2</v>
      </c>
      <c r="AQ109" s="100">
        <f t="shared" si="46"/>
        <v>1</v>
      </c>
      <c r="AR109" s="473">
        <f t="shared" si="14"/>
        <v>671.20018188498921</v>
      </c>
      <c r="AS109" s="474">
        <f t="shared" si="15"/>
        <v>851.26341485479361</v>
      </c>
      <c r="AT109" s="474">
        <f t="shared" si="16"/>
        <v>185.99112990290195</v>
      </c>
      <c r="AU109" s="474">
        <f t="shared" si="17"/>
        <v>0</v>
      </c>
      <c r="AV109" s="474">
        <f t="shared" si="18"/>
        <v>0</v>
      </c>
      <c r="AW109" s="474">
        <f t="shared" si="19"/>
        <v>0</v>
      </c>
      <c r="AX109" s="474">
        <f t="shared" si="20"/>
        <v>1237.8847545063022</v>
      </c>
      <c r="AY109" s="474">
        <f t="shared" si="21"/>
        <v>105.80779139698581</v>
      </c>
      <c r="AZ109" s="474">
        <f t="shared" si="22"/>
        <v>45.882855936635217</v>
      </c>
      <c r="BA109" s="474">
        <f t="shared" si="23"/>
        <v>84.414684151566917</v>
      </c>
      <c r="BB109" s="474">
        <f t="shared" si="24"/>
        <v>49.324317134454468</v>
      </c>
      <c r="BC109" s="475">
        <f t="shared" si="47"/>
        <v>3231.7691297686292</v>
      </c>
      <c r="BD109" s="647">
        <f t="shared" si="48"/>
        <v>0</v>
      </c>
      <c r="BE109" s="383">
        <f t="shared" si="49"/>
        <v>0.20768815931261841</v>
      </c>
      <c r="BF109" s="383">
        <f t="shared" si="50"/>
        <v>0.26340477325982065</v>
      </c>
      <c r="BG109" s="383">
        <f t="shared" si="51"/>
        <v>5.7550871499356622E-2</v>
      </c>
      <c r="BH109" s="383">
        <f t="shared" si="52"/>
        <v>0</v>
      </c>
      <c r="BI109" s="383">
        <f t="shared" si="53"/>
        <v>0</v>
      </c>
      <c r="BJ109" s="383">
        <f t="shared" si="54"/>
        <v>0</v>
      </c>
      <c r="BK109" s="383">
        <f t="shared" si="55"/>
        <v>0.47135619592820438</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92.909216346454784</v>
      </c>
      <c r="BW109" s="100">
        <f t="shared" si="59"/>
        <v>0.65586115488388763</v>
      </c>
      <c r="BX109" s="1385">
        <f t="shared" si="25"/>
        <v>45.911028865820995</v>
      </c>
      <c r="BY109" s="473">
        <f t="shared" si="60"/>
        <v>92.909216346454784</v>
      </c>
      <c r="BZ109" s="100">
        <f t="shared" si="61"/>
        <v>0.65586115488388763</v>
      </c>
      <c r="CA109" s="489">
        <f t="shared" si="26"/>
        <v>45.911028865820995</v>
      </c>
      <c r="CB109" s="579">
        <f t="shared" si="27"/>
        <v>0.27985563375052358</v>
      </c>
      <c r="CC109" s="471">
        <f t="shared" si="62"/>
        <v>0.32198423880985849</v>
      </c>
      <c r="CD109" s="100">
        <f t="shared" si="28"/>
        <v>0.27985563375052358</v>
      </c>
      <c r="CE109" s="471">
        <f t="shared" si="63"/>
        <v>0.32198423880985849</v>
      </c>
      <c r="CG109" s="473">
        <f t="shared" si="64"/>
        <v>1707.9278777845379</v>
      </c>
      <c r="CH109" s="474">
        <f t="shared" si="65"/>
        <v>746.2080527645885</v>
      </c>
      <c r="CI109" s="474">
        <f t="shared" si="66"/>
        <v>2855.9471763862912</v>
      </c>
      <c r="CJ109" s="474">
        <f t="shared" si="67"/>
        <v>3642.9060031901004</v>
      </c>
      <c r="CK109" s="474">
        <f t="shared" si="68"/>
        <v>44.223888265335049</v>
      </c>
      <c r="CL109" s="474">
        <f t="shared" si="69"/>
        <v>8997.2129983908526</v>
      </c>
      <c r="CM109" s="576">
        <f t="shared" si="70"/>
        <v>0</v>
      </c>
    </row>
    <row r="110" spans="1:91" s="1" customFormat="1">
      <c r="A110" s="89">
        <f>'Input data'!A130</f>
        <v>2030</v>
      </c>
      <c r="B110" s="152">
        <f>'Input data'!B130</f>
        <v>65.956090000000003</v>
      </c>
      <c r="C110" s="204">
        <f>'Input data'!C130</f>
        <v>5247.6087278453806</v>
      </c>
      <c r="D110" s="204">
        <f>'Input data'!D130</f>
        <v>43025080.542663962</v>
      </c>
      <c r="E110" s="579">
        <f>C52</f>
        <v>1</v>
      </c>
      <c r="F110" s="100">
        <f>D52</f>
        <v>0.36725000000000002</v>
      </c>
      <c r="G110" s="475">
        <f>B110*F110*'Input data'!$C$9</f>
        <v>741.37639335418953</v>
      </c>
      <c r="H110" s="301">
        <f>'Input data'!I130</f>
        <v>424.26313389388866</v>
      </c>
      <c r="I110" s="474">
        <f>'Input data'!K130</f>
        <v>27982.737442787373</v>
      </c>
      <c r="J110" s="474">
        <f t="shared" si="85"/>
        <v>2897.4481853098064</v>
      </c>
      <c r="K110" s="475">
        <f t="shared" si="73"/>
        <v>10106.646132979506</v>
      </c>
      <c r="L110" s="100">
        <f>C19</f>
        <v>0.7</v>
      </c>
      <c r="M110" s="100">
        <f>D19</f>
        <v>0.6</v>
      </c>
      <c r="N110" s="100">
        <f>E19</f>
        <v>0.9</v>
      </c>
      <c r="O110" s="100">
        <f>F19</f>
        <v>0.9</v>
      </c>
      <c r="P110" s="100">
        <f>G19</f>
        <v>0.23600000000000002</v>
      </c>
      <c r="Q110" s="473">
        <f t="shared" si="31"/>
        <v>299.62160860317135</v>
      </c>
      <c r="R110" s="474">
        <f t="shared" si="32"/>
        <v>209.08527088217454</v>
      </c>
      <c r="S110" s="474">
        <f t="shared" si="33"/>
        <v>612.28826138396289</v>
      </c>
      <c r="T110" s="474">
        <f t="shared" si="34"/>
        <v>412.27658568899597</v>
      </c>
      <c r="U110" s="475">
        <f t="shared" si="35"/>
        <v>0</v>
      </c>
      <c r="V110" s="474">
        <f t="shared" si="9"/>
        <v>1533.2717265583046</v>
      </c>
      <c r="W110" s="579">
        <f t="shared" si="86"/>
        <v>0.5</v>
      </c>
      <c r="X110" s="475">
        <f t="shared" si="36"/>
        <v>3033.4854703020706</v>
      </c>
      <c r="Y110" s="474">
        <f t="shared" si="77"/>
        <v>4566.7571968603752</v>
      </c>
      <c r="Z110" s="474">
        <f t="shared" si="78"/>
        <v>8437.3371214289364</v>
      </c>
      <c r="AA110" s="475">
        <f t="shared" si="79"/>
        <v>5539.8889361191304</v>
      </c>
      <c r="AB110" s="938">
        <f t="shared" si="37"/>
        <v>0.65659210440330285</v>
      </c>
      <c r="AC110" s="118" t="str">
        <f t="shared" si="38"/>
        <v>Yes</v>
      </c>
      <c r="AD110" s="938">
        <f t="shared" si="39"/>
        <v>0.65659210440330285</v>
      </c>
      <c r="AE110" s="579">
        <f t="shared" si="10"/>
        <v>0.29577637461695849</v>
      </c>
      <c r="AF110" s="475">
        <f t="shared" si="11"/>
        <v>298.77612226712506</v>
      </c>
      <c r="AG110" s="473">
        <f t="shared" si="40"/>
        <v>2897.4481853098064</v>
      </c>
      <c r="AH110" s="474">
        <f t="shared" si="80"/>
        <v>9203.7475672090277</v>
      </c>
      <c r="AI110" s="474">
        <f t="shared" si="81"/>
        <v>6437.6604656145792</v>
      </c>
      <c r="AJ110" s="474">
        <f t="shared" si="12"/>
        <v>1167.2485919680901</v>
      </c>
      <c r="AK110" s="474">
        <f t="shared" si="41"/>
        <v>19706.104810101504</v>
      </c>
      <c r="AL110" s="640">
        <f t="shared" si="13"/>
        <v>0</v>
      </c>
      <c r="AM110" s="100">
        <f t="shared" si="42"/>
        <v>0.1470330241938301</v>
      </c>
      <c r="AN110" s="100">
        <f t="shared" si="43"/>
        <v>0.46705057422058949</v>
      </c>
      <c r="AO110" s="100">
        <f t="shared" si="44"/>
        <v>0.32668355962029511</v>
      </c>
      <c r="AP110" s="100">
        <f t="shared" si="45"/>
        <v>5.9232841965285256E-2</v>
      </c>
      <c r="AQ110" s="100">
        <f t="shared" si="46"/>
        <v>1</v>
      </c>
      <c r="AR110" s="473">
        <f t="shared" si="14"/>
        <v>612.56940461047054</v>
      </c>
      <c r="AS110" s="474">
        <f t="shared" si="15"/>
        <v>776.90372749873484</v>
      </c>
      <c r="AT110" s="474">
        <f t="shared" si="16"/>
        <v>160.57652818153852</v>
      </c>
      <c r="AU110" s="474">
        <f t="shared" si="17"/>
        <v>0</v>
      </c>
      <c r="AV110" s="474">
        <f t="shared" si="18"/>
        <v>0</v>
      </c>
      <c r="AW110" s="474">
        <f t="shared" si="19"/>
        <v>0</v>
      </c>
      <c r="AX110" s="474">
        <f t="shared" si="20"/>
        <v>1121.4128814382834</v>
      </c>
      <c r="AY110" s="474">
        <f t="shared" si="21"/>
        <v>90.329201598007003</v>
      </c>
      <c r="AZ110" s="474">
        <f t="shared" si="22"/>
        <v>25.391562301128037</v>
      </c>
      <c r="BA110" s="474">
        <f t="shared" si="23"/>
        <v>65.581459515614853</v>
      </c>
      <c r="BB110" s="474">
        <f t="shared" si="24"/>
        <v>44.683420166026991</v>
      </c>
      <c r="BC110" s="475">
        <f t="shared" si="47"/>
        <v>2897.4481853098041</v>
      </c>
      <c r="BD110" s="647">
        <f t="shared" si="48"/>
        <v>0</v>
      </c>
      <c r="BE110" s="383">
        <f t="shared" si="49"/>
        <v>0.21141686250550593</v>
      </c>
      <c r="BF110" s="383">
        <f t="shared" si="50"/>
        <v>0.26813377765913904</v>
      </c>
      <c r="BG110" s="383">
        <f t="shared" si="51"/>
        <v>5.541998265772928E-2</v>
      </c>
      <c r="BH110" s="383">
        <f t="shared" si="52"/>
        <v>0</v>
      </c>
      <c r="BI110" s="383">
        <f t="shared" si="53"/>
        <v>0</v>
      </c>
      <c r="BJ110" s="383">
        <f t="shared" si="54"/>
        <v>0</v>
      </c>
      <c r="BK110" s="383">
        <f t="shared" si="55"/>
        <v>0.46502937717762582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90.390457433068079</v>
      </c>
      <c r="BW110" s="100">
        <f t="shared" si="59"/>
        <v>0.68235035725790982</v>
      </c>
      <c r="BX110" s="1385">
        <f t="shared" si="25"/>
        <v>43.025080542663964</v>
      </c>
      <c r="BY110" s="473">
        <f t="shared" si="60"/>
        <v>90.390457433068079</v>
      </c>
      <c r="BZ110" s="100">
        <f t="shared" si="61"/>
        <v>0.68235035725790982</v>
      </c>
      <c r="CA110" s="489">
        <f t="shared" si="26"/>
        <v>43.025080542663964</v>
      </c>
      <c r="CB110" s="579">
        <f t="shared" si="27"/>
        <v>0.29577637461695849</v>
      </c>
      <c r="CC110" s="471">
        <f t="shared" si="62"/>
        <v>0.33416712207572952</v>
      </c>
      <c r="CD110" s="100">
        <f t="shared" si="28"/>
        <v>0.29577637461695849</v>
      </c>
      <c r="CE110" s="471">
        <f t="shared" si="63"/>
        <v>0.33416712207572952</v>
      </c>
      <c r="CG110" s="473">
        <f t="shared" si="64"/>
        <v>1747.7927168518324</v>
      </c>
      <c r="CH110" s="474">
        <f t="shared" si="65"/>
        <v>769.63903392211466</v>
      </c>
      <c r="CI110" s="474">
        <f t="shared" si="66"/>
        <v>2931.1672087530142</v>
      </c>
      <c r="CJ110" s="474">
        <f t="shared" si="67"/>
        <v>3710.4892712009678</v>
      </c>
      <c r="CK110" s="474">
        <f t="shared" si="68"/>
        <v>44.65933648109722</v>
      </c>
      <c r="CL110" s="474">
        <f t="shared" si="69"/>
        <v>9203.7475672090259</v>
      </c>
      <c r="CM110" s="576">
        <f t="shared" si="70"/>
        <v>0</v>
      </c>
    </row>
    <row r="111" spans="1:91">
      <c r="A111" s="89">
        <f>'Input data'!A131</f>
        <v>2031</v>
      </c>
      <c r="B111" s="152">
        <f>'Input data'!B131</f>
        <v>66.518977190687664</v>
      </c>
      <c r="C111" s="204">
        <f>'Input data'!C131</f>
        <v>5388.2194214943684</v>
      </c>
      <c r="D111" s="204">
        <f>'Input data'!D131</f>
        <v>41478479.110071354</v>
      </c>
      <c r="E111" s="579">
        <f>E110</f>
        <v>1</v>
      </c>
      <c r="F111" s="100">
        <f>F110</f>
        <v>0.36725000000000002</v>
      </c>
      <c r="G111" s="475">
        <f>B111*F111*'Input data'!$C$9</f>
        <v>747.70350090858369</v>
      </c>
      <c r="H111" s="301">
        <f>'Input data'!I131</f>
        <v>424.26313389388866</v>
      </c>
      <c r="I111" s="474">
        <f>'Input data'!K131</f>
        <v>28221.549726337245</v>
      </c>
      <c r="J111" s="474">
        <f t="shared" si="85"/>
        <v>2563.1272408509826</v>
      </c>
      <c r="K111" s="475">
        <f t="shared" si="73"/>
        <v>10551.947551239295</v>
      </c>
      <c r="L111" s="100">
        <f>L110</f>
        <v>0.7</v>
      </c>
      <c r="M111" s="100">
        <f t="shared" ref="M111:P126" si="87">M110</f>
        <v>0.6</v>
      </c>
      <c r="N111" s="100">
        <f t="shared" si="87"/>
        <v>0.9</v>
      </c>
      <c r="O111" s="100">
        <f t="shared" si="87"/>
        <v>0.9</v>
      </c>
      <c r="P111" s="100">
        <f t="shared" si="87"/>
        <v>0.23600000000000002</v>
      </c>
      <c r="Q111" s="473">
        <f t="shared" si="31"/>
        <v>302.1786608107227</v>
      </c>
      <c r="R111" s="474">
        <f t="shared" si="32"/>
        <v>210.86966138714581</v>
      </c>
      <c r="S111" s="474">
        <f t="shared" si="33"/>
        <v>617.5136957500913</v>
      </c>
      <c r="T111" s="474">
        <f t="shared" si="34"/>
        <v>415.79506607655048</v>
      </c>
      <c r="U111" s="475">
        <f t="shared" si="35"/>
        <v>0</v>
      </c>
      <c r="V111" s="474">
        <f t="shared" si="9"/>
        <v>1546.3570840245102</v>
      </c>
      <c r="W111" s="579">
        <f t="shared" si="86"/>
        <v>0.5</v>
      </c>
      <c r="X111" s="475">
        <f t="shared" si="36"/>
        <v>3033.4854703020706</v>
      </c>
      <c r="Y111" s="474">
        <f t="shared" si="77"/>
        <v>4579.8425543265803</v>
      </c>
      <c r="Z111" s="474">
        <f t="shared" si="78"/>
        <v>8535.2322377636974</v>
      </c>
      <c r="AA111" s="475">
        <f t="shared" si="79"/>
        <v>5972.1049969127143</v>
      </c>
      <c r="AB111" s="938">
        <f t="shared" si="37"/>
        <v>0.69970035150179533</v>
      </c>
      <c r="AC111" s="118" t="str">
        <f t="shared" si="38"/>
        <v>Yes</v>
      </c>
      <c r="AD111" s="938">
        <f t="shared" si="39"/>
        <v>0.69970035150179533</v>
      </c>
      <c r="AE111" s="579">
        <f t="shared" si="10"/>
        <v>0.31568192095747505</v>
      </c>
      <c r="AF111" s="475">
        <f t="shared" si="11"/>
        <v>290.33093279482745</v>
      </c>
      <c r="AG111" s="473">
        <f t="shared" si="40"/>
        <v>2563.1272408509826</v>
      </c>
      <c r="AH111" s="474">
        <f t="shared" si="80"/>
        <v>9282.2948493766726</v>
      </c>
      <c r="AI111" s="474">
        <f t="shared" si="81"/>
        <v>6437.6604656145792</v>
      </c>
      <c r="AJ111" s="474">
        <f t="shared" si="12"/>
        <v>1029.4341404879635</v>
      </c>
      <c r="AK111" s="474">
        <f t="shared" si="41"/>
        <v>19312.5166963302</v>
      </c>
      <c r="AL111" s="640">
        <f t="shared" si="13"/>
        <v>0</v>
      </c>
      <c r="AM111" s="100">
        <f t="shared" si="42"/>
        <v>0.1327184478933309</v>
      </c>
      <c r="AN111" s="100">
        <f t="shared" si="43"/>
        <v>0.48063621097816378</v>
      </c>
      <c r="AO111" s="100">
        <f t="shared" si="44"/>
        <v>0.33334135404723692</v>
      </c>
      <c r="AP111" s="100">
        <f t="shared" si="45"/>
        <v>5.3303987081268309E-2</v>
      </c>
      <c r="AQ111" s="100">
        <f t="shared" si="46"/>
        <v>0.99999999999999989</v>
      </c>
      <c r="AR111" s="473">
        <f t="shared" si="14"/>
        <v>543.67212223260026</v>
      </c>
      <c r="AS111" s="474">
        <f t="shared" si="15"/>
        <v>689.52333420609659</v>
      </c>
      <c r="AT111" s="474">
        <f t="shared" si="16"/>
        <v>141.61761377016282</v>
      </c>
      <c r="AU111" s="474">
        <f t="shared" si="17"/>
        <v>0</v>
      </c>
      <c r="AV111" s="474">
        <f t="shared" si="18"/>
        <v>0</v>
      </c>
      <c r="AW111" s="474">
        <f t="shared" si="19"/>
        <v>0</v>
      </c>
      <c r="AX111" s="474">
        <f t="shared" si="20"/>
        <v>989.01015060475595</v>
      </c>
      <c r="AY111" s="474">
        <f t="shared" si="21"/>
        <v>79.664233178659885</v>
      </c>
      <c r="AZ111" s="474">
        <f t="shared" si="22"/>
        <v>22.393636876473376</v>
      </c>
      <c r="BA111" s="474">
        <f t="shared" si="23"/>
        <v>57.83840209613961</v>
      </c>
      <c r="BB111" s="474">
        <f t="shared" si="24"/>
        <v>39.407747886093858</v>
      </c>
      <c r="BC111" s="475">
        <f t="shared" si="47"/>
        <v>2563.1272408509826</v>
      </c>
      <c r="BD111" s="647">
        <f t="shared" si="48"/>
        <v>0</v>
      </c>
      <c r="BE111" s="383">
        <f t="shared" si="49"/>
        <v>0.21211281030749607</v>
      </c>
      <c r="BF111" s="383">
        <f t="shared" si="50"/>
        <v>0.26901642775142459</v>
      </c>
      <c r="BG111" s="383">
        <f t="shared" si="51"/>
        <v>5.525188586546504E-2</v>
      </c>
      <c r="BH111" s="383">
        <f t="shared" si="52"/>
        <v>0</v>
      </c>
      <c r="BI111" s="383">
        <f t="shared" si="53"/>
        <v>0</v>
      </c>
      <c r="BJ111" s="383">
        <f t="shared" si="54"/>
        <v>0</v>
      </c>
      <c r="BK111" s="383">
        <f t="shared" si="55"/>
        <v>0.46361887607561419</v>
      </c>
      <c r="BL111" s="383">
        <f t="shared" si="56"/>
        <v>1</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89.171255684827301</v>
      </c>
      <c r="BW111" s="100">
        <f t="shared" si="59"/>
        <v>0.69216296780752284</v>
      </c>
      <c r="BX111" s="1385">
        <f t="shared" si="25"/>
        <v>41.478479110071355</v>
      </c>
      <c r="BY111" s="473">
        <f t="shared" si="60"/>
        <v>89.171255684827301</v>
      </c>
      <c r="BZ111" s="100">
        <f t="shared" si="61"/>
        <v>0.69216296780752284</v>
      </c>
      <c r="CA111" s="489">
        <f t="shared" si="26"/>
        <v>41.478479110071355</v>
      </c>
      <c r="CB111" s="579">
        <f t="shared" si="27"/>
        <v>0.31568192095747505</v>
      </c>
      <c r="CC111" s="471">
        <f t="shared" si="62"/>
        <v>0.34284240625384033</v>
      </c>
      <c r="CD111" s="100">
        <f t="shared" si="28"/>
        <v>0.31568192095747505</v>
      </c>
      <c r="CE111" s="471">
        <f t="shared" si="63"/>
        <v>0.34284240625384033</v>
      </c>
      <c r="CG111" s="473">
        <f t="shared" si="64"/>
        <v>1762.7088547292153</v>
      </c>
      <c r="CH111" s="474">
        <f t="shared" si="65"/>
        <v>776.20734252937109</v>
      </c>
      <c r="CI111" s="474">
        <f t="shared" si="66"/>
        <v>2956.1825860376707</v>
      </c>
      <c r="CJ111" s="474">
        <f t="shared" si="67"/>
        <v>3742.1555946889584</v>
      </c>
      <c r="CK111" s="474">
        <f t="shared" si="68"/>
        <v>45.040471391456826</v>
      </c>
      <c r="CL111" s="474">
        <f t="shared" si="69"/>
        <v>9282.2948493766726</v>
      </c>
      <c r="CM111" s="576">
        <f t="shared" si="70"/>
        <v>0</v>
      </c>
    </row>
    <row r="112" spans="1:91">
      <c r="A112" s="89">
        <f>'Input data'!A132</f>
        <v>2032</v>
      </c>
      <c r="B112" s="152">
        <f>'Input data'!B132</f>
        <v>67.08666821358311</v>
      </c>
      <c r="C112" s="204">
        <f>'Input data'!C132</f>
        <v>5536.7385220125598</v>
      </c>
      <c r="D112" s="204">
        <f>'Input data'!D132</f>
        <v>41255345.957373768</v>
      </c>
      <c r="E112" s="579">
        <f t="shared" ref="E112:E130" si="88">E111</f>
        <v>1</v>
      </c>
      <c r="F112" s="100">
        <f t="shared" ref="F112:F130" si="89">F111</f>
        <v>0.36725000000000002</v>
      </c>
      <c r="G112" s="475">
        <f>B112*F112*'Input data'!$C$9</f>
        <v>754.08460571776459</v>
      </c>
      <c r="H112" s="301">
        <f>'Input data'!I132</f>
        <v>424.26313389388866</v>
      </c>
      <c r="I112" s="474">
        <f>'Input data'!K132</f>
        <v>28462.400098794296</v>
      </c>
      <c r="J112" s="474">
        <f>J97*(1-$G$6)</f>
        <v>2228.8062963921584</v>
      </c>
      <c r="K112" s="475">
        <f t="shared" si="73"/>
        <v>10998.19610701314</v>
      </c>
      <c r="L112" s="100">
        <f t="shared" ref="L112:P127" si="90">L111</f>
        <v>0.7</v>
      </c>
      <c r="M112" s="100">
        <f t="shared" si="87"/>
        <v>0.6</v>
      </c>
      <c r="N112" s="100">
        <f t="shared" si="87"/>
        <v>0.9</v>
      </c>
      <c r="O112" s="100">
        <f t="shared" si="87"/>
        <v>0.9</v>
      </c>
      <c r="P112" s="100">
        <f t="shared" si="87"/>
        <v>0.23600000000000002</v>
      </c>
      <c r="Q112" s="473">
        <f t="shared" si="31"/>
        <v>304.75753559650093</v>
      </c>
      <c r="R112" s="474">
        <f t="shared" si="32"/>
        <v>212.66928036546119</v>
      </c>
      <c r="S112" s="474">
        <f t="shared" si="33"/>
        <v>622.78372539272095</v>
      </c>
      <c r="T112" s="474">
        <f t="shared" si="34"/>
        <v>419.34357413161615</v>
      </c>
      <c r="U112" s="475">
        <f t="shared" si="35"/>
        <v>0</v>
      </c>
      <c r="V112" s="474">
        <f t="shared" si="9"/>
        <v>1559.5541154862992</v>
      </c>
      <c r="W112" s="579">
        <f t="shared" si="86"/>
        <v>0.5</v>
      </c>
      <c r="X112" s="475">
        <f t="shared" si="36"/>
        <v>3033.4854703020706</v>
      </c>
      <c r="Y112" s="474">
        <f t="shared" si="77"/>
        <v>4593.0395857883695</v>
      </c>
      <c r="Z112" s="474">
        <f t="shared" si="78"/>
        <v>8633.9628176169281</v>
      </c>
      <c r="AA112" s="475">
        <f t="shared" si="79"/>
        <v>6405.1565212247697</v>
      </c>
      <c r="AB112" s="938">
        <f t="shared" si="37"/>
        <v>0.74185593064583821</v>
      </c>
      <c r="AC112" s="118" t="str">
        <f t="shared" si="38"/>
        <v>Yes</v>
      </c>
      <c r="AD112" s="938">
        <f t="shared" si="39"/>
        <v>0.74185593064583821</v>
      </c>
      <c r="AE112" s="579">
        <f t="shared" si="10"/>
        <v>0.33524737223917422</v>
      </c>
      <c r="AF112" s="475">
        <f t="shared" si="11"/>
        <v>282.03003311800558</v>
      </c>
      <c r="AG112" s="473">
        <f t="shared" si="40"/>
        <v>2228.8062963921584</v>
      </c>
      <c r="AH112" s="474">
        <f t="shared" si="80"/>
        <v>9361.5124753896816</v>
      </c>
      <c r="AI112" s="474">
        <f t="shared" si="81"/>
        <v>6437.6604656145792</v>
      </c>
      <c r="AJ112" s="474">
        <f t="shared" si="12"/>
        <v>892.47602065707667</v>
      </c>
      <c r="AK112" s="474">
        <f t="shared" si="41"/>
        <v>18920.455258053495</v>
      </c>
      <c r="AL112" s="640">
        <f t="shared" si="13"/>
        <v>0</v>
      </c>
      <c r="AM112" s="100">
        <f t="shared" si="42"/>
        <v>0.117798766784085</v>
      </c>
      <c r="AN112" s="100">
        <f t="shared" si="43"/>
        <v>0.49478262270697487</v>
      </c>
      <c r="AO112" s="100">
        <f t="shared" si="44"/>
        <v>0.34024870849100675</v>
      </c>
      <c r="AP112" s="100">
        <f t="shared" si="45"/>
        <v>4.7169902017933425E-2</v>
      </c>
      <c r="AQ112" s="100">
        <f t="shared" si="46"/>
        <v>1</v>
      </c>
      <c r="AR112" s="473">
        <f t="shared" si="14"/>
        <v>474.28711157023099</v>
      </c>
      <c r="AS112" s="474">
        <f t="shared" si="15"/>
        <v>601.52436950035451</v>
      </c>
      <c r="AT112" s="474">
        <f t="shared" si="16"/>
        <v>122.77650353876473</v>
      </c>
      <c r="AU112" s="474">
        <f t="shared" si="17"/>
        <v>0</v>
      </c>
      <c r="AV112" s="474">
        <f t="shared" si="18"/>
        <v>0</v>
      </c>
      <c r="AW112" s="474">
        <f t="shared" si="19"/>
        <v>0</v>
      </c>
      <c r="AX112" s="474">
        <f t="shared" si="20"/>
        <v>857.43012484780604</v>
      </c>
      <c r="AY112" s="474">
        <f t="shared" si="21"/>
        <v>69.065533208648347</v>
      </c>
      <c r="AZ112" s="474">
        <f t="shared" si="22"/>
        <v>19.414339530337507</v>
      </c>
      <c r="BA112" s="474">
        <f t="shared" si="23"/>
        <v>50.14345737499864</v>
      </c>
      <c r="BB112" s="474">
        <f t="shared" si="24"/>
        <v>34.164856821017388</v>
      </c>
      <c r="BC112" s="475">
        <f t="shared" si="47"/>
        <v>2228.8062963921584</v>
      </c>
      <c r="BD112" s="647">
        <f t="shared" si="48"/>
        <v>0</v>
      </c>
      <c r="BE112" s="383">
        <f t="shared" si="49"/>
        <v>0.21279871307702919</v>
      </c>
      <c r="BF112" s="383">
        <f t="shared" si="50"/>
        <v>0.26988633802500545</v>
      </c>
      <c r="BG112" s="383">
        <f t="shared" si="51"/>
        <v>5.5086215315124989E-2</v>
      </c>
      <c r="BH112" s="383">
        <f t="shared" si="52"/>
        <v>0</v>
      </c>
      <c r="BI112" s="383">
        <f t="shared" si="53"/>
        <v>0</v>
      </c>
      <c r="BJ112" s="383">
        <f t="shared" si="54"/>
        <v>0</v>
      </c>
      <c r="BK112" s="383">
        <f t="shared" si="55"/>
        <v>0.46222873358284033</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89.317599611891666</v>
      </c>
      <c r="BW112" s="100">
        <f t="shared" si="59"/>
        <v>0.69790932595523925</v>
      </c>
      <c r="BX112" s="1385">
        <f t="shared" si="25"/>
        <v>41.25534595737377</v>
      </c>
      <c r="BY112" s="473">
        <f t="shared" si="60"/>
        <v>89.317599611891666</v>
      </c>
      <c r="BZ112" s="100">
        <f t="shared" si="61"/>
        <v>0.69790932595523925</v>
      </c>
      <c r="CA112" s="489">
        <f t="shared" si="26"/>
        <v>41.25534595737377</v>
      </c>
      <c r="CB112" s="579">
        <f t="shared" si="27"/>
        <v>0.33524737223917422</v>
      </c>
      <c r="CC112" s="471">
        <f t="shared" si="62"/>
        <v>0.34737754235140295</v>
      </c>
      <c r="CD112" s="100">
        <f t="shared" si="28"/>
        <v>0.33524737223917422</v>
      </c>
      <c r="CE112" s="471">
        <f t="shared" si="63"/>
        <v>0.34737754235140295</v>
      </c>
      <c r="CG112" s="473">
        <f t="shared" si="64"/>
        <v>1777.7522909795882</v>
      </c>
      <c r="CH112" s="474">
        <f t="shared" si="65"/>
        <v>782.83170686672827</v>
      </c>
      <c r="CI112" s="474">
        <f t="shared" si="66"/>
        <v>2981.4114513481313</v>
      </c>
      <c r="CJ112" s="474">
        <f t="shared" si="67"/>
        <v>3774.0921671845485</v>
      </c>
      <c r="CK112" s="474">
        <f t="shared" si="68"/>
        <v>45.424859010686319</v>
      </c>
      <c r="CL112" s="474">
        <f t="shared" si="69"/>
        <v>9361.5124753896835</v>
      </c>
      <c r="CM112" s="576">
        <f t="shared" si="70"/>
        <v>0</v>
      </c>
    </row>
    <row r="113" spans="1:91">
      <c r="A113" s="89">
        <f>'Input data'!A133</f>
        <v>2033</v>
      </c>
      <c r="B113" s="152">
        <f>'Input data'!B133</f>
        <v>67.659204065895452</v>
      </c>
      <c r="C113" s="204">
        <f>'Input data'!C133</f>
        <v>5692.5826618103829</v>
      </c>
      <c r="D113" s="204">
        <f>'Input data'!D133</f>
        <v>40262688.170007341</v>
      </c>
      <c r="E113" s="579">
        <f t="shared" si="88"/>
        <v>1</v>
      </c>
      <c r="F113" s="100">
        <f t="shared" si="89"/>
        <v>0.36725000000000002</v>
      </c>
      <c r="G113" s="475">
        <f>B113*F113*'Input data'!$C$9</f>
        <v>760.52016860897436</v>
      </c>
      <c r="H113" s="301">
        <f>'Input data'!I133</f>
        <v>424.26313389388866</v>
      </c>
      <c r="I113" s="474">
        <f>'Input data'!K133</f>
        <v>28705.305953762938</v>
      </c>
      <c r="J113" s="474">
        <f>J112</f>
        <v>2228.8062963921584</v>
      </c>
      <c r="K113" s="475">
        <f t="shared" si="73"/>
        <v>11111.078938971066</v>
      </c>
      <c r="L113" s="100">
        <f t="shared" si="90"/>
        <v>0.7</v>
      </c>
      <c r="M113" s="100">
        <f t="shared" si="87"/>
        <v>0.6</v>
      </c>
      <c r="N113" s="100">
        <f t="shared" si="87"/>
        <v>0.9</v>
      </c>
      <c r="O113" s="100">
        <f t="shared" si="87"/>
        <v>0.9</v>
      </c>
      <c r="P113" s="100">
        <f t="shared" si="87"/>
        <v>0.23600000000000002</v>
      </c>
      <c r="Q113" s="473">
        <f t="shared" si="31"/>
        <v>307.35841920031703</v>
      </c>
      <c r="R113" s="474">
        <f t="shared" si="32"/>
        <v>214.484257781049</v>
      </c>
      <c r="S113" s="474">
        <f t="shared" si="33"/>
        <v>628.09873090005567</v>
      </c>
      <c r="T113" s="474">
        <f t="shared" si="34"/>
        <v>422.92236611846511</v>
      </c>
      <c r="U113" s="475">
        <f t="shared" si="35"/>
        <v>0</v>
      </c>
      <c r="V113" s="474">
        <f t="shared" si="9"/>
        <v>1572.8637739998867</v>
      </c>
      <c r="W113" s="579">
        <f t="shared" si="86"/>
        <v>0.5</v>
      </c>
      <c r="X113" s="475">
        <f t="shared" si="36"/>
        <v>3033.4854703020706</v>
      </c>
      <c r="Y113" s="474">
        <f t="shared" si="77"/>
        <v>4606.3492443019568</v>
      </c>
      <c r="Z113" s="474">
        <f t="shared" si="78"/>
        <v>8733.5359910612679</v>
      </c>
      <c r="AA113" s="475">
        <f t="shared" si="79"/>
        <v>6504.7296946691094</v>
      </c>
      <c r="AB113" s="938">
        <f t="shared" si="37"/>
        <v>0.74479909412712897</v>
      </c>
      <c r="AC113" s="118" t="str">
        <f t="shared" si="38"/>
        <v>Yes</v>
      </c>
      <c r="AD113" s="938">
        <f t="shared" si="39"/>
        <v>0.74479909412712897</v>
      </c>
      <c r="AE113" s="579">
        <f t="shared" si="10"/>
        <v>0.33818146943254268</v>
      </c>
      <c r="AF113" s="475">
        <f t="shared" si="11"/>
        <v>280.78520384759781</v>
      </c>
      <c r="AG113" s="473">
        <f t="shared" si="40"/>
        <v>2228.8062963921584</v>
      </c>
      <c r="AH113" s="474">
        <f t="shared" si="80"/>
        <v>9441.4061661445412</v>
      </c>
      <c r="AI113" s="474">
        <f t="shared" si="81"/>
        <v>6437.6604656145792</v>
      </c>
      <c r="AJ113" s="474">
        <f t="shared" si="12"/>
        <v>889.83047765739286</v>
      </c>
      <c r="AK113" s="474">
        <f t="shared" si="41"/>
        <v>18997.703405808672</v>
      </c>
      <c r="AL113" s="640">
        <f t="shared" si="13"/>
        <v>0</v>
      </c>
      <c r="AM113" s="100">
        <f t="shared" si="42"/>
        <v>0.11731977538457024</v>
      </c>
      <c r="AN113" s="100">
        <f t="shared" si="43"/>
        <v>0.49697618519814185</v>
      </c>
      <c r="AO113" s="100">
        <f t="shared" si="44"/>
        <v>0.33886519481329636</v>
      </c>
      <c r="AP113" s="100">
        <f t="shared" si="45"/>
        <v>4.6838844603991521E-2</v>
      </c>
      <c r="AQ113" s="100">
        <f t="shared" si="46"/>
        <v>1</v>
      </c>
      <c r="AR113" s="473">
        <f t="shared" si="14"/>
        <v>475.79389477735378</v>
      </c>
      <c r="AS113" s="474">
        <f t="shared" si="15"/>
        <v>603.43537824701332</v>
      </c>
      <c r="AT113" s="474">
        <f t="shared" si="16"/>
        <v>122.41256040534195</v>
      </c>
      <c r="AU113" s="474">
        <f t="shared" si="17"/>
        <v>0</v>
      </c>
      <c r="AV113" s="474">
        <f t="shared" si="18"/>
        <v>0</v>
      </c>
      <c r="AW113" s="474">
        <f t="shared" si="19"/>
        <v>0</v>
      </c>
      <c r="AX113" s="474">
        <f t="shared" si="20"/>
        <v>854.88846746765705</v>
      </c>
      <c r="AY113" s="474">
        <f t="shared" si="21"/>
        <v>68.860804080167085</v>
      </c>
      <c r="AZ113" s="474">
        <f t="shared" si="22"/>
        <v>19.356790118533684</v>
      </c>
      <c r="BA113" s="474">
        <f t="shared" si="23"/>
        <v>49.994818454099921</v>
      </c>
      <c r="BB113" s="474">
        <f t="shared" si="24"/>
        <v>34.063582841990474</v>
      </c>
      <c r="BC113" s="475">
        <f t="shared" si="47"/>
        <v>2228.806296392157</v>
      </c>
      <c r="BD113" s="647">
        <f t="shared" si="48"/>
        <v>0</v>
      </c>
      <c r="BE113" s="383">
        <f t="shared" si="49"/>
        <v>0.21347476249844466</v>
      </c>
      <c r="BF113" s="383">
        <f t="shared" si="50"/>
        <v>0.27074375158748171</v>
      </c>
      <c r="BG113" s="383">
        <f t="shared" si="51"/>
        <v>5.492292470794579E-2</v>
      </c>
      <c r="BH113" s="383">
        <f t="shared" si="52"/>
        <v>0</v>
      </c>
      <c r="BI113" s="383">
        <f t="shared" si="53"/>
        <v>0</v>
      </c>
      <c r="BJ113" s="383">
        <f t="shared" si="54"/>
        <v>0</v>
      </c>
      <c r="BK113" s="383">
        <f t="shared" si="55"/>
        <v>0.46085856120612789</v>
      </c>
      <c r="BL113" s="383">
        <f t="shared" si="56"/>
        <v>1</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89.20128796609103</v>
      </c>
      <c r="BW113" s="100">
        <f t="shared" si="59"/>
        <v>0.70419239676867573</v>
      </c>
      <c r="BX113" s="1385">
        <f t="shared" si="25"/>
        <v>40.262688170007344</v>
      </c>
      <c r="BY113" s="473">
        <f t="shared" si="60"/>
        <v>89.20128796609103</v>
      </c>
      <c r="BZ113" s="100">
        <f t="shared" si="61"/>
        <v>0.70419239676867573</v>
      </c>
      <c r="CA113" s="489">
        <f t="shared" si="26"/>
        <v>40.262688170007344</v>
      </c>
      <c r="CB113" s="579">
        <f t="shared" si="27"/>
        <v>0.33818146943254268</v>
      </c>
      <c r="CC113" s="471">
        <f t="shared" si="62"/>
        <v>0.35445223039388429</v>
      </c>
      <c r="CD113" s="100">
        <f t="shared" si="28"/>
        <v>0.33818146943254268</v>
      </c>
      <c r="CE113" s="471">
        <f t="shared" si="63"/>
        <v>0.35445223039388429</v>
      </c>
      <c r="CG113" s="473">
        <f t="shared" si="64"/>
        <v>1792.9241120018478</v>
      </c>
      <c r="CH113" s="474">
        <f t="shared" si="65"/>
        <v>789.51260532901495</v>
      </c>
      <c r="CI113" s="474">
        <f t="shared" si="66"/>
        <v>3006.8556266492046</v>
      </c>
      <c r="CJ113" s="474">
        <f t="shared" si="67"/>
        <v>3806.3012950661869</v>
      </c>
      <c r="CK113" s="474">
        <f t="shared" si="68"/>
        <v>45.81252709828685</v>
      </c>
      <c r="CL113" s="474">
        <f t="shared" si="69"/>
        <v>9441.4061661445412</v>
      </c>
      <c r="CM113" s="576">
        <f t="shared" si="70"/>
        <v>0</v>
      </c>
    </row>
    <row r="114" spans="1:91">
      <c r="A114" s="89">
        <f>'Input data'!A134</f>
        <v>2034</v>
      </c>
      <c r="B114" s="152">
        <f>'Input data'!B134</f>
        <v>68.236626094715163</v>
      </c>
      <c r="C114" s="204">
        <f>'Input data'!C134</f>
        <v>5868.7539844737303</v>
      </c>
      <c r="D114" s="204">
        <f>'Input data'!D134</f>
        <v>39656259.723391399</v>
      </c>
      <c r="E114" s="579">
        <f t="shared" si="88"/>
        <v>1</v>
      </c>
      <c r="F114" s="100">
        <f t="shared" si="89"/>
        <v>0.36725000000000002</v>
      </c>
      <c r="G114" s="475">
        <f>B114*F114*'Input data'!$C$9</f>
        <v>767.01065434227985</v>
      </c>
      <c r="H114" s="301">
        <f>'Input data'!I134</f>
        <v>424.26313389388866</v>
      </c>
      <c r="I114" s="474">
        <f>'Input data'!K134</f>
        <v>28950.284833289355</v>
      </c>
      <c r="J114" s="474">
        <f t="shared" ref="J114:J130" si="91">J113</f>
        <v>2228.8062963921584</v>
      </c>
      <c r="K114" s="475">
        <f t="shared" si="73"/>
        <v>11224.925143684375</v>
      </c>
      <c r="L114" s="100">
        <f t="shared" si="90"/>
        <v>0.7</v>
      </c>
      <c r="M114" s="100">
        <f t="shared" si="87"/>
        <v>0.6</v>
      </c>
      <c r="N114" s="100">
        <f t="shared" si="87"/>
        <v>0.9</v>
      </c>
      <c r="O114" s="100">
        <f t="shared" si="87"/>
        <v>0.9</v>
      </c>
      <c r="P114" s="100">
        <f t="shared" si="87"/>
        <v>0.23600000000000002</v>
      </c>
      <c r="Q114" s="473">
        <f t="shared" si="31"/>
        <v>309.98149945140312</v>
      </c>
      <c r="R114" s="474">
        <f t="shared" si="32"/>
        <v>216.31472470698566</v>
      </c>
      <c r="S114" s="474">
        <f t="shared" si="33"/>
        <v>633.45909610834542</v>
      </c>
      <c r="T114" s="474">
        <f t="shared" si="34"/>
        <v>426.5317004883982</v>
      </c>
      <c r="U114" s="475">
        <f t="shared" si="35"/>
        <v>0</v>
      </c>
      <c r="V114" s="474">
        <f t="shared" si="9"/>
        <v>1586.2870207551323</v>
      </c>
      <c r="W114" s="579">
        <f t="shared" si="86"/>
        <v>0.5</v>
      </c>
      <c r="X114" s="475">
        <f t="shared" si="36"/>
        <v>3033.4854703020706</v>
      </c>
      <c r="Y114" s="474">
        <f t="shared" si="77"/>
        <v>4619.7724910572033</v>
      </c>
      <c r="Z114" s="474">
        <f t="shared" si="78"/>
        <v>8833.9589490193302</v>
      </c>
      <c r="AA114" s="475">
        <f t="shared" si="79"/>
        <v>6605.1526526271718</v>
      </c>
      <c r="AB114" s="938">
        <f t="shared" si="37"/>
        <v>0.74770017505689435</v>
      </c>
      <c r="AC114" s="118" t="str">
        <f t="shared" si="38"/>
        <v>Yes</v>
      </c>
      <c r="AD114" s="938">
        <f t="shared" si="39"/>
        <v>0.74770017505689435</v>
      </c>
      <c r="AE114" s="579">
        <f t="shared" si="10"/>
        <v>0.34108865163413971</v>
      </c>
      <c r="AF114" s="475">
        <f t="shared" si="11"/>
        <v>279.5517936159477</v>
      </c>
      <c r="AG114" s="473">
        <f t="shared" si="40"/>
        <v>2228.8062963921584</v>
      </c>
      <c r="AH114" s="474">
        <f t="shared" si="80"/>
        <v>9521.9816913614286</v>
      </c>
      <c r="AI114" s="474">
        <f t="shared" si="81"/>
        <v>6437.6604656145792</v>
      </c>
      <c r="AJ114" s="474">
        <f t="shared" si="12"/>
        <v>887.22276171023486</v>
      </c>
      <c r="AK114" s="474">
        <f t="shared" si="41"/>
        <v>19075.671215078404</v>
      </c>
      <c r="AL114" s="640">
        <f t="shared" si="13"/>
        <v>0</v>
      </c>
      <c r="AM114" s="100">
        <f t="shared" si="42"/>
        <v>0.11684025538406186</v>
      </c>
      <c r="AN114" s="100">
        <f t="shared" si="43"/>
        <v>0.49916889340359138</v>
      </c>
      <c r="AO114" s="100">
        <f t="shared" si="44"/>
        <v>0.33748015433008288</v>
      </c>
      <c r="AP114" s="100">
        <f t="shared" si="45"/>
        <v>4.6510696882263718E-2</v>
      </c>
      <c r="AQ114" s="100">
        <f t="shared" si="46"/>
        <v>0.99999999999999978</v>
      </c>
      <c r="AR114" s="473">
        <f t="shared" si="14"/>
        <v>477.27913338379346</v>
      </c>
      <c r="AS114" s="474">
        <f t="shared" si="15"/>
        <v>605.31906261140239</v>
      </c>
      <c r="AT114" s="474">
        <f t="shared" si="16"/>
        <v>122.05382107923813</v>
      </c>
      <c r="AU114" s="474">
        <f t="shared" si="17"/>
        <v>0</v>
      </c>
      <c r="AV114" s="474">
        <f t="shared" si="18"/>
        <v>0</v>
      </c>
      <c r="AW114" s="474">
        <f t="shared" si="19"/>
        <v>0</v>
      </c>
      <c r="AX114" s="474">
        <f t="shared" si="20"/>
        <v>852.38315174108629</v>
      </c>
      <c r="AY114" s="474">
        <f t="shared" si="21"/>
        <v>68.659002252242828</v>
      </c>
      <c r="AZ114" s="474">
        <f t="shared" si="22"/>
        <v>19.300063571685364</v>
      </c>
      <c r="BA114" s="474">
        <f t="shared" si="23"/>
        <v>49.848304833099625</v>
      </c>
      <c r="BB114" s="474">
        <f t="shared" si="24"/>
        <v>33.963756919610013</v>
      </c>
      <c r="BC114" s="475">
        <f t="shared" si="47"/>
        <v>2228.8062963921584</v>
      </c>
      <c r="BD114" s="647">
        <f t="shared" si="48"/>
        <v>0</v>
      </c>
      <c r="BE114" s="383">
        <f t="shared" si="49"/>
        <v>0.21414114548957475</v>
      </c>
      <c r="BF114" s="383">
        <f t="shared" si="50"/>
        <v>0.27158890550123271</v>
      </c>
      <c r="BG114" s="383">
        <f t="shared" si="51"/>
        <v>5.4761968896449478E-2</v>
      </c>
      <c r="BH114" s="383">
        <f t="shared" si="52"/>
        <v>0</v>
      </c>
      <c r="BI114" s="383">
        <f t="shared" si="53"/>
        <v>0</v>
      </c>
      <c r="BJ114" s="383">
        <f t="shared" si="54"/>
        <v>0</v>
      </c>
      <c r="BK114" s="383">
        <f t="shared" si="55"/>
        <v>0.45950798011274291</v>
      </c>
      <c r="BL114" s="383">
        <f t="shared" si="56"/>
        <v>0.99999999999999978</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89.576153887509733</v>
      </c>
      <c r="BW114" s="100">
        <f t="shared" si="59"/>
        <v>0.70949230346386294</v>
      </c>
      <c r="BX114" s="1385">
        <f t="shared" si="25"/>
        <v>39.6562597233914</v>
      </c>
      <c r="BY114" s="473">
        <f t="shared" si="60"/>
        <v>89.576153887509733</v>
      </c>
      <c r="BZ114" s="100">
        <f t="shared" si="61"/>
        <v>0.70949230346386294</v>
      </c>
      <c r="CA114" s="489">
        <f t="shared" si="26"/>
        <v>39.6562597233914</v>
      </c>
      <c r="CB114" s="579">
        <f t="shared" si="27"/>
        <v>0.34108865163413971</v>
      </c>
      <c r="CC114" s="471">
        <f t="shared" si="62"/>
        <v>0.36061817011653796</v>
      </c>
      <c r="CD114" s="100">
        <f t="shared" si="28"/>
        <v>0.34108865163413971</v>
      </c>
      <c r="CE114" s="471">
        <f t="shared" si="63"/>
        <v>0.36061817011653796</v>
      </c>
      <c r="CG114" s="473">
        <f t="shared" si="64"/>
        <v>1808.2254134665175</v>
      </c>
      <c r="CH114" s="474">
        <f t="shared" si="65"/>
        <v>796.25052039381262</v>
      </c>
      <c r="CI114" s="474">
        <f t="shared" si="66"/>
        <v>3032.5169494548468</v>
      </c>
      <c r="CJ114" s="474">
        <f t="shared" si="67"/>
        <v>3838.7853043955847</v>
      </c>
      <c r="CK114" s="474">
        <f t="shared" si="68"/>
        <v>46.203503650666732</v>
      </c>
      <c r="CL114" s="474">
        <f t="shared" si="69"/>
        <v>9521.9816913614286</v>
      </c>
      <c r="CM114" s="576">
        <f t="shared" si="70"/>
        <v>0</v>
      </c>
    </row>
    <row r="115" spans="1:91">
      <c r="A115" s="89">
        <f>'Input data'!A135</f>
        <v>2035</v>
      </c>
      <c r="B115" s="152">
        <f>'Input data'!B135</f>
        <v>68.818976000000006</v>
      </c>
      <c r="C115" s="204">
        <f>'Input data'!C135</f>
        <v>6036.7474148806386</v>
      </c>
      <c r="D115" s="204">
        <f>'Input data'!D135</f>
        <v>39791303.809178911</v>
      </c>
      <c r="E115" s="579">
        <f t="shared" si="88"/>
        <v>1</v>
      </c>
      <c r="F115" s="100">
        <f t="shared" si="89"/>
        <v>0.36725000000000002</v>
      </c>
      <c r="G115" s="475">
        <f>B115*F115*'Input data'!$C$9</f>
        <v>773.55653164413684</v>
      </c>
      <c r="H115" s="301">
        <f>'Input data'!I135</f>
        <v>424.26313389388866</v>
      </c>
      <c r="I115" s="474">
        <f>'Input data'!K135</f>
        <v>29197.354429128314</v>
      </c>
      <c r="J115" s="474">
        <f t="shared" si="91"/>
        <v>2228.8062963921584</v>
      </c>
      <c r="K115" s="475">
        <f t="shared" si="73"/>
        <v>11339.742942837889</v>
      </c>
      <c r="L115" s="100">
        <f t="shared" si="90"/>
        <v>0.7</v>
      </c>
      <c r="M115" s="100">
        <f t="shared" si="87"/>
        <v>0.6</v>
      </c>
      <c r="N115" s="100">
        <f t="shared" si="87"/>
        <v>0.9</v>
      </c>
      <c r="O115" s="100">
        <f t="shared" si="87"/>
        <v>0.9</v>
      </c>
      <c r="P115" s="100">
        <f t="shared" si="87"/>
        <v>0.23600000000000002</v>
      </c>
      <c r="Q115" s="473">
        <f t="shared" si="31"/>
        <v>312.62696578197756</v>
      </c>
      <c r="R115" s="474">
        <f t="shared" si="32"/>
        <v>218.16081333496061</v>
      </c>
      <c r="S115" s="474">
        <f t="shared" si="33"/>
        <v>638.86520812960043</v>
      </c>
      <c r="T115" s="474">
        <f t="shared" si="34"/>
        <v>430.17183789841056</v>
      </c>
      <c r="U115" s="475">
        <f t="shared" si="35"/>
        <v>0</v>
      </c>
      <c r="V115" s="474">
        <f t="shared" si="9"/>
        <v>1599.824825144949</v>
      </c>
      <c r="W115" s="579">
        <f t="shared" si="86"/>
        <v>0.5</v>
      </c>
      <c r="X115" s="475">
        <f t="shared" si="36"/>
        <v>3033.4854703020706</v>
      </c>
      <c r="Y115" s="474">
        <f t="shared" si="77"/>
        <v>4633.3102954470196</v>
      </c>
      <c r="Z115" s="474">
        <f t="shared" si="78"/>
        <v>8935.2389437830279</v>
      </c>
      <c r="AA115" s="475">
        <f t="shared" si="79"/>
        <v>6706.4326473908695</v>
      </c>
      <c r="AB115" s="938">
        <f t="shared" si="37"/>
        <v>0.75055996706804129</v>
      </c>
      <c r="AC115" s="118" t="str">
        <f t="shared" si="38"/>
        <v>Yes</v>
      </c>
      <c r="AD115" s="938">
        <f t="shared" si="39"/>
        <v>0.75055996706804129</v>
      </c>
      <c r="AE115" s="579">
        <f t="shared" si="10"/>
        <v>0.34396919974586804</v>
      </c>
      <c r="AF115" s="475">
        <f t="shared" si="11"/>
        <v>278.32968324673374</v>
      </c>
      <c r="AG115" s="473">
        <f t="shared" si="40"/>
        <v>2228.8062963921584</v>
      </c>
      <c r="AH115" s="474">
        <f t="shared" si="80"/>
        <v>9603.2448700008808</v>
      </c>
      <c r="AI115" s="474">
        <f t="shared" si="81"/>
        <v>6437.6604656145792</v>
      </c>
      <c r="AJ115" s="474">
        <f t="shared" si="12"/>
        <v>884.65215943695455</v>
      </c>
      <c r="AK115" s="474">
        <f t="shared" si="41"/>
        <v>19154.363791444572</v>
      </c>
      <c r="AL115" s="640">
        <f t="shared" si="13"/>
        <v>0</v>
      </c>
      <c r="AM115" s="100">
        <f t="shared" si="42"/>
        <v>0.11636023627094678</v>
      </c>
      <c r="AN115" s="100">
        <f t="shared" si="43"/>
        <v>0.50136068075987139</v>
      </c>
      <c r="AO115" s="100">
        <f t="shared" si="44"/>
        <v>0.33609367221531022</v>
      </c>
      <c r="AP115" s="100">
        <f t="shared" si="45"/>
        <v>4.6185410753871683E-2</v>
      </c>
      <c r="AQ115" s="100">
        <f t="shared" si="46"/>
        <v>1.0000000000000002</v>
      </c>
      <c r="AR115" s="473">
        <f t="shared" si="14"/>
        <v>478.74323369818387</v>
      </c>
      <c r="AS115" s="474">
        <f t="shared" si="15"/>
        <v>607.17593790279147</v>
      </c>
      <c r="AT115" s="474">
        <f t="shared" si="16"/>
        <v>121.70018742208988</v>
      </c>
      <c r="AU115" s="474">
        <f t="shared" si="17"/>
        <v>0</v>
      </c>
      <c r="AV115" s="474">
        <f t="shared" si="18"/>
        <v>0</v>
      </c>
      <c r="AW115" s="474">
        <f t="shared" si="19"/>
        <v>0</v>
      </c>
      <c r="AX115" s="474">
        <f t="shared" si="20"/>
        <v>849.91349230251683</v>
      </c>
      <c r="AY115" s="474">
        <f t="shared" si="21"/>
        <v>68.460072519048694</v>
      </c>
      <c r="AZ115" s="474">
        <f t="shared" si="22"/>
        <v>19.244144371420276</v>
      </c>
      <c r="BA115" s="474">
        <f t="shared" si="23"/>
        <v>49.703876431064366</v>
      </c>
      <c r="BB115" s="474">
        <f t="shared" si="24"/>
        <v>33.86535174504214</v>
      </c>
      <c r="BC115" s="475">
        <f t="shared" si="47"/>
        <v>2228.806296392157</v>
      </c>
      <c r="BD115" s="647">
        <f t="shared" si="48"/>
        <v>0</v>
      </c>
      <c r="BE115" s="383">
        <f t="shared" si="49"/>
        <v>0.21479804434918434</v>
      </c>
      <c r="BF115" s="383">
        <f t="shared" si="50"/>
        <v>0.27242203097041112</v>
      </c>
      <c r="BG115" s="383">
        <f t="shared" si="51"/>
        <v>5.4603303848831559E-2</v>
      </c>
      <c r="BH115" s="383">
        <f t="shared" si="52"/>
        <v>0</v>
      </c>
      <c r="BI115" s="383">
        <f t="shared" si="53"/>
        <v>0</v>
      </c>
      <c r="BJ115" s="383">
        <f t="shared" si="54"/>
        <v>0</v>
      </c>
      <c r="BK115" s="383">
        <f t="shared" si="55"/>
        <v>0.45817662083157323</v>
      </c>
      <c r="BL115" s="383">
        <f t="shared" si="56"/>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90.651284589796589</v>
      </c>
      <c r="BW115" s="100">
        <f t="shared" si="59"/>
        <v>0.71204391973020498</v>
      </c>
      <c r="BX115" s="1385">
        <f t="shared" si="25"/>
        <v>39.791303809178913</v>
      </c>
      <c r="BY115" s="473">
        <f t="shared" si="60"/>
        <v>90.651284589796589</v>
      </c>
      <c r="BZ115" s="100">
        <f t="shared" si="61"/>
        <v>0.71204391973020498</v>
      </c>
      <c r="CA115" s="489">
        <f t="shared" si="26"/>
        <v>39.791303809178913</v>
      </c>
      <c r="CB115" s="579">
        <f t="shared" si="27"/>
        <v>0.34396919974586804</v>
      </c>
      <c r="CC115" s="471">
        <f t="shared" si="62"/>
        <v>0.36401779390258671</v>
      </c>
      <c r="CD115" s="100">
        <f t="shared" si="28"/>
        <v>0.34396919974586804</v>
      </c>
      <c r="CE115" s="471">
        <f t="shared" si="63"/>
        <v>0.36401779390258671</v>
      </c>
      <c r="CG115" s="473">
        <f t="shared" si="64"/>
        <v>1823.6573003948697</v>
      </c>
      <c r="CH115" s="474">
        <f t="shared" si="65"/>
        <v>803.04593865629693</v>
      </c>
      <c r="CI115" s="474">
        <f t="shared" si="66"/>
        <v>3058.3972729608545</v>
      </c>
      <c r="CJ115" s="474">
        <f t="shared" si="67"/>
        <v>3871.5465410856968</v>
      </c>
      <c r="CK115" s="474">
        <f t="shared" si="68"/>
        <v>46.597816903163221</v>
      </c>
      <c r="CL115" s="474">
        <f t="shared" si="69"/>
        <v>9603.244870000879</v>
      </c>
      <c r="CM115" s="576">
        <f t="shared" si="70"/>
        <v>0</v>
      </c>
    </row>
    <row r="116" spans="1:91">
      <c r="A116" s="89">
        <f>'Input data'!A136</f>
        <v>2036</v>
      </c>
      <c r="B116" s="152">
        <f>'Input data'!B136</f>
        <v>69.322810489383542</v>
      </c>
      <c r="C116" s="204">
        <f>'Input data'!C136</f>
        <v>6215.8972497914319</v>
      </c>
      <c r="D116" s="204">
        <f>'Input data'!D136</f>
        <v>39216082.697226301</v>
      </c>
      <c r="E116" s="579">
        <f t="shared" si="88"/>
        <v>1</v>
      </c>
      <c r="F116" s="100">
        <f t="shared" si="89"/>
        <v>0.36725000000000002</v>
      </c>
      <c r="G116" s="475">
        <f>B116*F116*'Input data'!$C$9</f>
        <v>779.21986002801486</v>
      </c>
      <c r="H116" s="301">
        <f>'Input data'!I136</f>
        <v>424.26313389388866</v>
      </c>
      <c r="I116" s="474">
        <f>'Input data'!K136</f>
        <v>29411.112828557998</v>
      </c>
      <c r="J116" s="474">
        <f t="shared" si="91"/>
        <v>2228.8062963921584</v>
      </c>
      <c r="K116" s="475">
        <f t="shared" si="73"/>
        <v>11439.080414491387</v>
      </c>
      <c r="L116" s="100">
        <f t="shared" si="90"/>
        <v>0.7</v>
      </c>
      <c r="M116" s="100">
        <f t="shared" si="87"/>
        <v>0.6</v>
      </c>
      <c r="N116" s="100">
        <f t="shared" si="87"/>
        <v>0.9</v>
      </c>
      <c r="O116" s="100">
        <f t="shared" si="87"/>
        <v>0.9</v>
      </c>
      <c r="P116" s="100">
        <f t="shared" si="87"/>
        <v>0.23600000000000002</v>
      </c>
      <c r="Q116" s="473">
        <f t="shared" si="31"/>
        <v>314.91575670604311</v>
      </c>
      <c r="R116" s="474">
        <f t="shared" si="32"/>
        <v>219.75800277861231</v>
      </c>
      <c r="S116" s="474">
        <f t="shared" si="33"/>
        <v>643.5424402628264</v>
      </c>
      <c r="T116" s="474">
        <f t="shared" si="34"/>
        <v>433.32119322004019</v>
      </c>
      <c r="U116" s="475">
        <f t="shared" si="35"/>
        <v>0</v>
      </c>
      <c r="V116" s="474">
        <f t="shared" si="9"/>
        <v>1611.537392967522</v>
      </c>
      <c r="W116" s="579">
        <f t="shared" si="86"/>
        <v>0.5</v>
      </c>
      <c r="X116" s="475">
        <f t="shared" si="36"/>
        <v>3033.4854703020706</v>
      </c>
      <c r="Y116" s="474">
        <f t="shared" si="77"/>
        <v>4645.0228632695926</v>
      </c>
      <c r="Z116" s="474">
        <f t="shared" si="78"/>
        <v>9022.8638476139531</v>
      </c>
      <c r="AA116" s="475">
        <f t="shared" si="79"/>
        <v>6794.0575512217947</v>
      </c>
      <c r="AB116" s="938">
        <f t="shared" si="37"/>
        <v>0.75298238629838643</v>
      </c>
      <c r="AC116" s="118" t="str">
        <f t="shared" si="38"/>
        <v>Yes</v>
      </c>
      <c r="AD116" s="938">
        <f t="shared" si="39"/>
        <v>0.75298238629838643</v>
      </c>
      <c r="AE116" s="579">
        <f t="shared" si="10"/>
        <v>0.34642074566368197</v>
      </c>
      <c r="AF116" s="475">
        <f t="shared" si="11"/>
        <v>277.28958269275716</v>
      </c>
      <c r="AG116" s="473">
        <f t="shared" si="40"/>
        <v>2228.8062963921584</v>
      </c>
      <c r="AH116" s="474">
        <f t="shared" si="80"/>
        <v>9673.5517280323329</v>
      </c>
      <c r="AI116" s="474">
        <f t="shared" si="81"/>
        <v>6437.6604656145792</v>
      </c>
      <c r="AJ116" s="474">
        <f t="shared" si="12"/>
        <v>882.47470165118193</v>
      </c>
      <c r="AK116" s="474">
        <f t="shared" si="41"/>
        <v>19222.493191690253</v>
      </c>
      <c r="AL116" s="640">
        <f t="shared" si="13"/>
        <v>0</v>
      </c>
      <c r="AM116" s="100">
        <f t="shared" si="42"/>
        <v>0.11594782602683691</v>
      </c>
      <c r="AN116" s="100">
        <f t="shared" si="43"/>
        <v>0.5032412617638039</v>
      </c>
      <c r="AO116" s="100">
        <f t="shared" si="44"/>
        <v>0.33490247084064695</v>
      </c>
      <c r="AP116" s="100">
        <f t="shared" si="45"/>
        <v>4.5908441368712229E-2</v>
      </c>
      <c r="AQ116" s="100">
        <f t="shared" si="46"/>
        <v>1</v>
      </c>
      <c r="AR116" s="473">
        <f t="shared" si="14"/>
        <v>479.98341646074488</v>
      </c>
      <c r="AS116" s="474">
        <f t="shared" si="15"/>
        <v>608.74882516056437</v>
      </c>
      <c r="AT116" s="474">
        <f t="shared" si="16"/>
        <v>121.4006380254085</v>
      </c>
      <c r="AU116" s="474">
        <f t="shared" si="17"/>
        <v>0</v>
      </c>
      <c r="AV116" s="474">
        <f t="shared" si="18"/>
        <v>0</v>
      </c>
      <c r="AW116" s="474">
        <f t="shared" si="19"/>
        <v>0</v>
      </c>
      <c r="AX116" s="474">
        <f t="shared" si="20"/>
        <v>847.82153928877506</v>
      </c>
      <c r="AY116" s="474">
        <f t="shared" si="21"/>
        <v>68.291566834265154</v>
      </c>
      <c r="AZ116" s="474">
        <f t="shared" si="22"/>
        <v>19.196777379156504</v>
      </c>
      <c r="BA116" s="474">
        <f t="shared" si="23"/>
        <v>49.581536716450756</v>
      </c>
      <c r="BB116" s="474">
        <f t="shared" si="24"/>
        <v>33.781996526792177</v>
      </c>
      <c r="BC116" s="475">
        <f t="shared" si="47"/>
        <v>2228.8062963921579</v>
      </c>
      <c r="BD116" s="647">
        <f t="shared" si="48"/>
        <v>0</v>
      </c>
      <c r="BE116" s="383">
        <f t="shared" si="49"/>
        <v>0.21535447797222657</v>
      </c>
      <c r="BF116" s="383">
        <f t="shared" si="50"/>
        <v>0.27312773934009704</v>
      </c>
      <c r="BG116" s="383">
        <f t="shared" si="51"/>
        <v>5.4468904822246644E-2</v>
      </c>
      <c r="BH116" s="383">
        <f t="shared" si="52"/>
        <v>0</v>
      </c>
      <c r="BI116" s="383">
        <f t="shared" si="53"/>
        <v>0</v>
      </c>
      <c r="BJ116" s="383">
        <f t="shared" si="54"/>
        <v>0</v>
      </c>
      <c r="BK116" s="383">
        <f t="shared" si="55"/>
        <v>0.45704887786542953</v>
      </c>
      <c r="BL116" s="383">
        <f t="shared" si="56"/>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91.062791895379888</v>
      </c>
      <c r="BW116" s="100">
        <f t="shared" si="59"/>
        <v>0.7171352274777465</v>
      </c>
      <c r="BX116" s="1385">
        <f t="shared" si="25"/>
        <v>39.216082697226298</v>
      </c>
      <c r="BY116" s="473">
        <f t="shared" si="60"/>
        <v>91.062791895379888</v>
      </c>
      <c r="BZ116" s="100">
        <f t="shared" si="61"/>
        <v>0.7171352274777465</v>
      </c>
      <c r="CA116" s="489">
        <f t="shared" si="26"/>
        <v>39.216082697226298</v>
      </c>
      <c r="CB116" s="579">
        <f t="shared" si="27"/>
        <v>0.34642074566368197</v>
      </c>
      <c r="CC116" s="471">
        <f t="shared" si="62"/>
        <v>0.3698209800126665</v>
      </c>
      <c r="CD116" s="100">
        <f t="shared" si="28"/>
        <v>0.34642074566368197</v>
      </c>
      <c r="CE116" s="471">
        <f t="shared" si="63"/>
        <v>0.3698209800126665</v>
      </c>
      <c r="CG116" s="473">
        <f t="shared" si="64"/>
        <v>1837.0085807852522</v>
      </c>
      <c r="CH116" s="474">
        <f t="shared" si="65"/>
        <v>808.92516360225397</v>
      </c>
      <c r="CI116" s="474">
        <f t="shared" si="66"/>
        <v>3080.7882778539556</v>
      </c>
      <c r="CJ116" s="474">
        <f t="shared" si="67"/>
        <v>3899.8907389803658</v>
      </c>
      <c r="CK116" s="474">
        <f t="shared" si="68"/>
        <v>46.938966810505526</v>
      </c>
      <c r="CL116" s="474">
        <f t="shared" si="69"/>
        <v>9673.5517280323329</v>
      </c>
      <c r="CM116" s="576">
        <f t="shared" si="70"/>
        <v>0</v>
      </c>
    </row>
    <row r="117" spans="1:91" s="1" customFormat="1">
      <c r="A117" s="89">
        <f>'Input data'!A137</f>
        <v>2037</v>
      </c>
      <c r="B117" s="152">
        <f>'Input data'!B137</f>
        <v>69.830333629884052</v>
      </c>
      <c r="C117" s="204">
        <f>'Input data'!C137</f>
        <v>6413.8831516087803</v>
      </c>
      <c r="D117" s="204">
        <f>'Input data'!D137</f>
        <v>38325122.85038393</v>
      </c>
      <c r="E117" s="579">
        <f t="shared" si="88"/>
        <v>1</v>
      </c>
      <c r="F117" s="100">
        <f t="shared" si="89"/>
        <v>0.36725000000000002</v>
      </c>
      <c r="G117" s="475">
        <f>B117*F117*'Input data'!$C$9</f>
        <v>784.92465052496607</v>
      </c>
      <c r="H117" s="301">
        <f>'Input data'!I137</f>
        <v>424.26313389388866</v>
      </c>
      <c r="I117" s="474">
        <f>'Input data'!K137</f>
        <v>29626.436186670413</v>
      </c>
      <c r="J117" s="474">
        <f t="shared" si="91"/>
        <v>2228.8062963921584</v>
      </c>
      <c r="K117" s="475">
        <f t="shared" si="73"/>
        <v>11539.145151315281</v>
      </c>
      <c r="L117" s="100">
        <f t="shared" si="90"/>
        <v>0.7</v>
      </c>
      <c r="M117" s="100">
        <f t="shared" si="87"/>
        <v>0.6</v>
      </c>
      <c r="N117" s="100">
        <f t="shared" si="87"/>
        <v>0.9</v>
      </c>
      <c r="O117" s="100">
        <f t="shared" si="87"/>
        <v>0.9</v>
      </c>
      <c r="P117" s="100">
        <f>P116</f>
        <v>0.23600000000000002</v>
      </c>
      <c r="Q117" s="473">
        <f t="shared" si="31"/>
        <v>317.2213042265239</v>
      </c>
      <c r="R117" s="474">
        <f t="shared" si="32"/>
        <v>221.36688549604628</v>
      </c>
      <c r="S117" s="474">
        <f t="shared" si="33"/>
        <v>648.25391514420835</v>
      </c>
      <c r="T117" s="474">
        <f t="shared" si="34"/>
        <v>436.49360546466687</v>
      </c>
      <c r="U117" s="475">
        <f t="shared" si="35"/>
        <v>0</v>
      </c>
      <c r="V117" s="474">
        <f t="shared" si="9"/>
        <v>1623.3357103314454</v>
      </c>
      <c r="W117" s="579">
        <f t="shared" si="86"/>
        <v>0.5</v>
      </c>
      <c r="X117" s="475">
        <f t="shared" si="36"/>
        <v>3033.4854703020706</v>
      </c>
      <c r="Y117" s="474">
        <f t="shared" si="77"/>
        <v>4656.8211806335157</v>
      </c>
      <c r="Z117" s="474">
        <f t="shared" si="78"/>
        <v>9111.1302670739242</v>
      </c>
      <c r="AA117" s="475">
        <f t="shared" si="79"/>
        <v>6882.3239706817658</v>
      </c>
      <c r="AB117" s="938">
        <f t="shared" si="37"/>
        <v>0.75537543300783594</v>
      </c>
      <c r="AC117" s="118" t="str">
        <f t="shared" si="38"/>
        <v>Yes</v>
      </c>
      <c r="AD117" s="938">
        <f t="shared" si="39"/>
        <v>0.75537543300783594</v>
      </c>
      <c r="AE117" s="579">
        <f t="shared" si="10"/>
        <v>0.34885304461912336</v>
      </c>
      <c r="AF117" s="475">
        <f t="shared" si="11"/>
        <v>276.25764791535482</v>
      </c>
      <c r="AG117" s="473">
        <f t="shared" si="40"/>
        <v>2228.8062963921584</v>
      </c>
      <c r="AH117" s="474">
        <f t="shared" si="80"/>
        <v>9744.373313570286</v>
      </c>
      <c r="AI117" s="474">
        <f t="shared" si="81"/>
        <v>6437.6604656145792</v>
      </c>
      <c r="AJ117" s="474">
        <f t="shared" si="12"/>
        <v>880.32364615924473</v>
      </c>
      <c r="AK117" s="474">
        <f t="shared" si="41"/>
        <v>19291.16372173627</v>
      </c>
      <c r="AL117" s="640">
        <f t="shared" si="13"/>
        <v>0</v>
      </c>
      <c r="AM117" s="100">
        <f t="shared" si="42"/>
        <v>0.11553508790560191</v>
      </c>
      <c r="AN117" s="100">
        <f t="shared" si="43"/>
        <v>0.50512107274227513</v>
      </c>
      <c r="AO117" s="100">
        <f t="shared" si="44"/>
        <v>0.3337103224291732</v>
      </c>
      <c r="AP117" s="100">
        <f t="shared" si="45"/>
        <v>4.5633516922949667E-2</v>
      </c>
      <c r="AQ117" s="100">
        <f t="shared" si="46"/>
        <v>1</v>
      </c>
      <c r="AR117" s="473">
        <f t="shared" si="14"/>
        <v>481.20856165522059</v>
      </c>
      <c r="AS117" s="474">
        <f t="shared" si="15"/>
        <v>610.30264071379247</v>
      </c>
      <c r="AT117" s="474">
        <f t="shared" si="16"/>
        <v>121.10472075020429</v>
      </c>
      <c r="AU117" s="474">
        <f t="shared" si="17"/>
        <v>0</v>
      </c>
      <c r="AV117" s="474">
        <f t="shared" si="18"/>
        <v>0</v>
      </c>
      <c r="AW117" s="474">
        <f t="shared" si="19"/>
        <v>0</v>
      </c>
      <c r="AX117" s="474">
        <f t="shared" si="20"/>
        <v>845.75495179923291</v>
      </c>
      <c r="AY117" s="474">
        <f t="shared" si="21"/>
        <v>68.125104328748591</v>
      </c>
      <c r="AZ117" s="474">
        <f t="shared" si="22"/>
        <v>19.149984725121655</v>
      </c>
      <c r="BA117" s="474">
        <f t="shared" si="23"/>
        <v>49.460680405609196</v>
      </c>
      <c r="BB117" s="474">
        <f t="shared" si="24"/>
        <v>33.699652014228135</v>
      </c>
      <c r="BC117" s="475">
        <f t="shared" si="47"/>
        <v>2228.8062963921575</v>
      </c>
      <c r="BD117" s="647">
        <f t="shared" si="48"/>
        <v>0</v>
      </c>
      <c r="BE117" s="383">
        <f t="shared" si="49"/>
        <v>0.21590416467961743</v>
      </c>
      <c r="BF117" s="383">
        <f t="shared" si="50"/>
        <v>0.27382489079544936</v>
      </c>
      <c r="BG117" s="383">
        <f t="shared" si="51"/>
        <v>5.4336135422015146E-2</v>
      </c>
      <c r="BH117" s="383">
        <f t="shared" si="52"/>
        <v>0</v>
      </c>
      <c r="BI117" s="383">
        <f t="shared" si="53"/>
        <v>0</v>
      </c>
      <c r="BJ117" s="383">
        <f t="shared" si="54"/>
        <v>0</v>
      </c>
      <c r="BK117" s="383">
        <f t="shared" si="55"/>
        <v>0.45593480910291823</v>
      </c>
      <c r="BL117" s="383">
        <f t="shared" si="56"/>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91.255684395174598</v>
      </c>
      <c r="BW117" s="100">
        <f t="shared" si="59"/>
        <v>0.7235911365543789</v>
      </c>
      <c r="BX117" s="1385">
        <f t="shared" si="25"/>
        <v>38.325122850383927</v>
      </c>
      <c r="BY117" s="473">
        <f t="shared" si="60"/>
        <v>91.255684395174598</v>
      </c>
      <c r="BZ117" s="100">
        <f t="shared" si="61"/>
        <v>0.7235911365543789</v>
      </c>
      <c r="CA117" s="489">
        <f t="shared" si="26"/>
        <v>38.325122850383927</v>
      </c>
      <c r="CB117" s="579">
        <f t="shared" si="27"/>
        <v>0.34885304461912336</v>
      </c>
      <c r="CC117" s="471">
        <f t="shared" si="62"/>
        <v>0.37688115895069452</v>
      </c>
      <c r="CD117" s="100">
        <f t="shared" si="28"/>
        <v>0.34885304461912336</v>
      </c>
      <c r="CE117" s="471">
        <f t="shared" si="63"/>
        <v>0.37688115895069452</v>
      </c>
      <c r="CG117" s="473">
        <f t="shared" si="64"/>
        <v>1850.4576079880558</v>
      </c>
      <c r="CH117" s="474">
        <f t="shared" si="65"/>
        <v>814.84743127379011</v>
      </c>
      <c r="CI117" s="474">
        <f t="shared" si="66"/>
        <v>3103.3432107967428</v>
      </c>
      <c r="CJ117" s="474">
        <f t="shared" si="67"/>
        <v>3928.4424491820068</v>
      </c>
      <c r="CK117" s="474">
        <f t="shared" si="68"/>
        <v>47.28261432968921</v>
      </c>
      <c r="CL117" s="474">
        <f t="shared" si="69"/>
        <v>9744.373313570286</v>
      </c>
      <c r="CM117" s="576">
        <f t="shared" si="70"/>
        <v>0</v>
      </c>
    </row>
    <row r="118" spans="1:91">
      <c r="A118" s="89">
        <f>'Input data'!A138</f>
        <v>2038</v>
      </c>
      <c r="B118" s="152">
        <f>'Input data'!B138</f>
        <v>70.341572426693446</v>
      </c>
      <c r="C118" s="204">
        <f>'Input data'!C138</f>
        <v>6601.8179471225203</v>
      </c>
      <c r="D118" s="204">
        <f>'Input data'!D138</f>
        <v>36655559.518641047</v>
      </c>
      <c r="E118" s="579">
        <f t="shared" si="88"/>
        <v>1</v>
      </c>
      <c r="F118" s="100">
        <f t="shared" si="89"/>
        <v>0.36725000000000002</v>
      </c>
      <c r="G118" s="475">
        <f>B118*F118*'Input data'!$C$9</f>
        <v>790.67120668560699</v>
      </c>
      <c r="H118" s="301">
        <f>'Input data'!I138</f>
        <v>424.26313389388866</v>
      </c>
      <c r="I118" s="474">
        <f>'Input data'!K138</f>
        <v>29843.335960772907</v>
      </c>
      <c r="J118" s="474">
        <f t="shared" si="91"/>
        <v>2228.8062963921584</v>
      </c>
      <c r="K118" s="475">
        <f t="shared" si="73"/>
        <v>11639.94247773166</v>
      </c>
      <c r="L118" s="100">
        <f t="shared" si="90"/>
        <v>0.7</v>
      </c>
      <c r="M118" s="100">
        <f t="shared" si="87"/>
        <v>0.6</v>
      </c>
      <c r="N118" s="100">
        <f t="shared" si="87"/>
        <v>0.9</v>
      </c>
      <c r="O118" s="100">
        <f t="shared" si="87"/>
        <v>0.9</v>
      </c>
      <c r="P118" s="100">
        <f t="shared" si="87"/>
        <v>0.23600000000000002</v>
      </c>
      <c r="Q118" s="473">
        <f t="shared" si="31"/>
        <v>319.54373102108343</v>
      </c>
      <c r="R118" s="474">
        <f t="shared" si="32"/>
        <v>222.9875470955493</v>
      </c>
      <c r="S118" s="474">
        <f t="shared" si="33"/>
        <v>652.99988347026374</v>
      </c>
      <c r="T118" s="474">
        <f t="shared" si="34"/>
        <v>439.68924343563094</v>
      </c>
      <c r="U118" s="475">
        <f t="shared" si="35"/>
        <v>0</v>
      </c>
      <c r="V118" s="474">
        <f t="shared" si="9"/>
        <v>1635.2204050225273</v>
      </c>
      <c r="W118" s="579">
        <f t="shared" si="86"/>
        <v>0.5</v>
      </c>
      <c r="X118" s="475">
        <f t="shared" si="36"/>
        <v>3033.4854703020706</v>
      </c>
      <c r="Y118" s="474">
        <f t="shared" si="77"/>
        <v>4668.7058753245983</v>
      </c>
      <c r="Z118" s="474">
        <f t="shared" si="78"/>
        <v>9200.04289879922</v>
      </c>
      <c r="AA118" s="475">
        <f t="shared" si="79"/>
        <v>6971.2366024070616</v>
      </c>
      <c r="AB118" s="938">
        <f t="shared" si="37"/>
        <v>0.75773957568360251</v>
      </c>
      <c r="AC118" s="118" t="str">
        <f t="shared" si="38"/>
        <v>Yes</v>
      </c>
      <c r="AD118" s="938">
        <f t="shared" si="39"/>
        <v>0.75773957568360251</v>
      </c>
      <c r="AE118" s="579">
        <f t="shared" si="10"/>
        <v>0.35126626747362921</v>
      </c>
      <c r="AF118" s="475">
        <f t="shared" si="11"/>
        <v>275.23380642431778</v>
      </c>
      <c r="AG118" s="473">
        <f t="shared" si="40"/>
        <v>2228.8062963921584</v>
      </c>
      <c r="AH118" s="474">
        <f t="shared" si="80"/>
        <v>9815.7133950153402</v>
      </c>
      <c r="AI118" s="474">
        <f t="shared" si="81"/>
        <v>6437.6604656145792</v>
      </c>
      <c r="AJ118" s="474">
        <f t="shared" si="12"/>
        <v>878.19857184859723</v>
      </c>
      <c r="AK118" s="474">
        <f t="shared" si="41"/>
        <v>19360.378728870674</v>
      </c>
      <c r="AL118" s="640">
        <f t="shared" si="13"/>
        <v>0</v>
      </c>
      <c r="AM118" s="100">
        <f t="shared" si="42"/>
        <v>0.11512204010082239</v>
      </c>
      <c r="AN118" s="100">
        <f t="shared" si="43"/>
        <v>0.50700007125263036</v>
      </c>
      <c r="AO118" s="100">
        <f t="shared" si="44"/>
        <v>0.33251727953103422</v>
      </c>
      <c r="AP118" s="100">
        <f t="shared" si="45"/>
        <v>4.5360609115513109E-2</v>
      </c>
      <c r="AQ118" s="100">
        <f t="shared" si="46"/>
        <v>1.0000000000000002</v>
      </c>
      <c r="AR118" s="473">
        <f t="shared" si="14"/>
        <v>482.41890912852034</v>
      </c>
      <c r="AS118" s="474">
        <f t="shared" si="15"/>
        <v>611.83768875324381</v>
      </c>
      <c r="AT118" s="474">
        <f t="shared" si="16"/>
        <v>120.81237766469563</v>
      </c>
      <c r="AU118" s="474">
        <f t="shared" si="17"/>
        <v>0</v>
      </c>
      <c r="AV118" s="474">
        <f t="shared" si="18"/>
        <v>0</v>
      </c>
      <c r="AW118" s="474">
        <f t="shared" si="19"/>
        <v>0</v>
      </c>
      <c r="AX118" s="474">
        <f t="shared" si="20"/>
        <v>843.71332525766161</v>
      </c>
      <c r="AY118" s="474">
        <f t="shared" si="21"/>
        <v>67.960652414102398</v>
      </c>
      <c r="AZ118" s="474">
        <f t="shared" si="22"/>
        <v>19.103757248708586</v>
      </c>
      <c r="BA118" s="474">
        <f t="shared" si="23"/>
        <v>49.341283838476528</v>
      </c>
      <c r="BB118" s="474">
        <f t="shared" si="24"/>
        <v>33.618302086749033</v>
      </c>
      <c r="BC118" s="475">
        <f t="shared" si="47"/>
        <v>2228.8062963921575</v>
      </c>
      <c r="BD118" s="647">
        <f t="shared" si="48"/>
        <v>0</v>
      </c>
      <c r="BE118" s="383">
        <f t="shared" si="49"/>
        <v>0.21644721208362872</v>
      </c>
      <c r="BF118" s="383">
        <f t="shared" si="50"/>
        <v>0.27451362181794159</v>
      </c>
      <c r="BG118" s="383">
        <f t="shared" si="51"/>
        <v>5.4204969655846105E-2</v>
      </c>
      <c r="BH118" s="383">
        <f t="shared" si="52"/>
        <v>0</v>
      </c>
      <c r="BI118" s="383">
        <f t="shared" si="53"/>
        <v>0</v>
      </c>
      <c r="BJ118" s="383">
        <f t="shared" si="54"/>
        <v>0</v>
      </c>
      <c r="BK118" s="383">
        <f t="shared" si="55"/>
        <v>0.45483419644258377</v>
      </c>
      <c r="BL118" s="383">
        <f t="shared" si="56"/>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90.618980377352798</v>
      </c>
      <c r="BW118" s="100">
        <f t="shared" si="59"/>
        <v>0.7327034368880373</v>
      </c>
      <c r="BX118" s="1385">
        <f t="shared" si="25"/>
        <v>36.655559518641049</v>
      </c>
      <c r="BY118" s="473">
        <f t="shared" si="60"/>
        <v>90.618980377352798</v>
      </c>
      <c r="BZ118" s="100">
        <f t="shared" si="61"/>
        <v>0.7327034368880373</v>
      </c>
      <c r="CA118" s="489">
        <f t="shared" si="26"/>
        <v>36.655559518641049</v>
      </c>
      <c r="CB118" s="579">
        <f t="shared" si="27"/>
        <v>0.35126626747362921</v>
      </c>
      <c r="CC118" s="471">
        <f t="shared" si="62"/>
        <v>0.38613740663076912</v>
      </c>
      <c r="CD118" s="100">
        <f t="shared" si="28"/>
        <v>0.35126626747362921</v>
      </c>
      <c r="CE118" s="471">
        <f t="shared" si="63"/>
        <v>0.38613740663076912</v>
      </c>
      <c r="CG118" s="473">
        <f t="shared" si="64"/>
        <v>1864.0050976229863</v>
      </c>
      <c r="CH118" s="474">
        <f t="shared" si="65"/>
        <v>820.81305679343336</v>
      </c>
      <c r="CI118" s="474">
        <f t="shared" si="66"/>
        <v>3126.0632719321143</v>
      </c>
      <c r="CJ118" s="474">
        <f t="shared" si="67"/>
        <v>3957.2031909206844</v>
      </c>
      <c r="CK118" s="474">
        <f t="shared" si="68"/>
        <v>47.628777746121287</v>
      </c>
      <c r="CL118" s="474">
        <f t="shared" si="69"/>
        <v>9815.7133950153402</v>
      </c>
      <c r="CM118" s="576">
        <f t="shared" si="70"/>
        <v>0</v>
      </c>
    </row>
    <row r="119" spans="1:91">
      <c r="A119" s="89">
        <f>'Input data'!A139</f>
        <v>2039</v>
      </c>
      <c r="B119" s="152">
        <f>'Input data'!B139</f>
        <v>70.856554082712819</v>
      </c>
      <c r="C119" s="204">
        <f>'Input data'!C139</f>
        <v>6791.0078131349956</v>
      </c>
      <c r="D119" s="204">
        <f>'Input data'!D139</f>
        <v>34985996.186898179</v>
      </c>
      <c r="E119" s="579">
        <f t="shared" si="88"/>
        <v>1</v>
      </c>
      <c r="F119" s="100">
        <f t="shared" si="89"/>
        <v>0.36725000000000002</v>
      </c>
      <c r="G119" s="475">
        <f>B119*F119*'Input data'!$C$9</f>
        <v>796.45983428289492</v>
      </c>
      <c r="H119" s="301">
        <f>'Input data'!I139</f>
        <v>424.26313389388866</v>
      </c>
      <c r="I119" s="474">
        <f>'Input data'!K139</f>
        <v>30061.823692053553</v>
      </c>
      <c r="J119" s="474">
        <f t="shared" si="91"/>
        <v>2228.8062963921584</v>
      </c>
      <c r="K119" s="475">
        <f t="shared" si="73"/>
        <v>11741.477757143535</v>
      </c>
      <c r="L119" s="100">
        <f t="shared" si="90"/>
        <v>0.7</v>
      </c>
      <c r="M119" s="100">
        <f t="shared" si="87"/>
        <v>0.6</v>
      </c>
      <c r="N119" s="100">
        <f t="shared" si="87"/>
        <v>0.9</v>
      </c>
      <c r="O119" s="100">
        <f t="shared" si="87"/>
        <v>0.9</v>
      </c>
      <c r="P119" s="100">
        <f t="shared" si="87"/>
        <v>0.23600000000000002</v>
      </c>
      <c r="Q119" s="473">
        <f t="shared" si="31"/>
        <v>321.88316066552784</v>
      </c>
      <c r="R119" s="474">
        <f t="shared" si="32"/>
        <v>224.62007381215983</v>
      </c>
      <c r="S119" s="474">
        <f t="shared" si="33"/>
        <v>657.78059777289673</v>
      </c>
      <c r="T119" s="474">
        <f t="shared" si="34"/>
        <v>442.90827717210823</v>
      </c>
      <c r="U119" s="475">
        <f t="shared" si="35"/>
        <v>0</v>
      </c>
      <c r="V119" s="474">
        <f t="shared" si="9"/>
        <v>1647.1921094226927</v>
      </c>
      <c r="W119" s="579">
        <f t="shared" si="86"/>
        <v>0.5</v>
      </c>
      <c r="X119" s="475">
        <f t="shared" si="36"/>
        <v>3033.4854703020706</v>
      </c>
      <c r="Y119" s="474">
        <f t="shared" si="77"/>
        <v>4680.6775797247628</v>
      </c>
      <c r="Z119" s="474">
        <f t="shared" si="78"/>
        <v>9289.6064738109308</v>
      </c>
      <c r="AA119" s="475">
        <f t="shared" si="79"/>
        <v>7060.8001774187724</v>
      </c>
      <c r="AB119" s="938">
        <f t="shared" si="37"/>
        <v>0.76007527308335787</v>
      </c>
      <c r="AC119" s="118" t="str">
        <f t="shared" si="38"/>
        <v>Yes</v>
      </c>
      <c r="AD119" s="938">
        <f t="shared" si="39"/>
        <v>0.76007527308335787</v>
      </c>
      <c r="AE119" s="579">
        <f t="shared" si="10"/>
        <v>0.35366058307858594</v>
      </c>
      <c r="AF119" s="475">
        <f t="shared" si="11"/>
        <v>274.21798658222781</v>
      </c>
      <c r="AG119" s="473">
        <f t="shared" si="40"/>
        <v>2228.8062963921584</v>
      </c>
      <c r="AH119" s="474">
        <f t="shared" si="80"/>
        <v>9887.5757683571446</v>
      </c>
      <c r="AI119" s="474">
        <f t="shared" si="81"/>
        <v>6437.6604656145792</v>
      </c>
      <c r="AJ119" s="474">
        <f t="shared" si="12"/>
        <v>876.09906635235745</v>
      </c>
      <c r="AK119" s="474">
        <f t="shared" si="41"/>
        <v>19430.141596716243</v>
      </c>
      <c r="AL119" s="640">
        <f t="shared" si="13"/>
        <v>0</v>
      </c>
      <c r="AM119" s="100">
        <f t="shared" si="42"/>
        <v>0.11470870066993408</v>
      </c>
      <c r="AN119" s="100">
        <f t="shared" si="43"/>
        <v>0.50887821476443473</v>
      </c>
      <c r="AO119" s="100">
        <f t="shared" si="44"/>
        <v>0.33132339430313595</v>
      </c>
      <c r="AP119" s="100">
        <f t="shared" si="45"/>
        <v>4.5089690262495104E-2</v>
      </c>
      <c r="AQ119" s="100">
        <f t="shared" si="46"/>
        <v>0.99999999999999989</v>
      </c>
      <c r="AR119" s="473">
        <f t="shared" si="14"/>
        <v>483.61469374641342</v>
      </c>
      <c r="AS119" s="474">
        <f t="shared" si="15"/>
        <v>613.35426715225412</v>
      </c>
      <c r="AT119" s="474">
        <f t="shared" si="16"/>
        <v>120.52355204022797</v>
      </c>
      <c r="AU119" s="474">
        <f t="shared" si="17"/>
        <v>0</v>
      </c>
      <c r="AV119" s="474">
        <f t="shared" si="18"/>
        <v>0</v>
      </c>
      <c r="AW119" s="474">
        <f t="shared" si="19"/>
        <v>0</v>
      </c>
      <c r="AX119" s="474">
        <f t="shared" si="20"/>
        <v>841.69626349007024</v>
      </c>
      <c r="AY119" s="474">
        <f t="shared" si="21"/>
        <v>67.798179178725647</v>
      </c>
      <c r="AZ119" s="474">
        <f t="shared" si="22"/>
        <v>19.058085979558079</v>
      </c>
      <c r="BA119" s="474">
        <f t="shared" si="23"/>
        <v>49.223323846361851</v>
      </c>
      <c r="BB119" s="474">
        <f t="shared" si="24"/>
        <v>33.53793095854644</v>
      </c>
      <c r="BC119" s="475">
        <f t="shared" si="47"/>
        <v>2228.8062963921579</v>
      </c>
      <c r="BD119" s="647">
        <f t="shared" si="48"/>
        <v>0</v>
      </c>
      <c r="BE119" s="383">
        <f t="shared" si="49"/>
        <v>0.21698372556164097</v>
      </c>
      <c r="BF119" s="383">
        <f t="shared" si="50"/>
        <v>0.27519406605460101</v>
      </c>
      <c r="BG119" s="383">
        <f t="shared" si="51"/>
        <v>5.4075382071256443E-2</v>
      </c>
      <c r="BH119" s="383">
        <f t="shared" si="52"/>
        <v>0</v>
      </c>
      <c r="BI119" s="383">
        <f t="shared" si="53"/>
        <v>0</v>
      </c>
      <c r="BJ119" s="383">
        <f t="shared" si="54"/>
        <v>0</v>
      </c>
      <c r="BK119" s="383">
        <f t="shared" si="55"/>
        <v>0.45374682631250146</v>
      </c>
      <c r="BL119" s="383">
        <f t="shared" si="56"/>
        <v>0.99999999999999978</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89.98925965194293</v>
      </c>
      <c r="BW119" s="100">
        <f t="shared" si="59"/>
        <v>0.74196471780807993</v>
      </c>
      <c r="BX119" s="1385">
        <f t="shared" si="25"/>
        <v>34.985996186898177</v>
      </c>
      <c r="BY119" s="473">
        <f t="shared" si="60"/>
        <v>89.98925965194293</v>
      </c>
      <c r="BZ119" s="100">
        <f t="shared" si="61"/>
        <v>0.74196471780807993</v>
      </c>
      <c r="CA119" s="489">
        <f t="shared" si="26"/>
        <v>34.985996186898177</v>
      </c>
      <c r="CB119" s="579">
        <f t="shared" si="27"/>
        <v>0.35366058307858594</v>
      </c>
      <c r="CC119" s="471">
        <f t="shared" si="62"/>
        <v>0.39532290274769877</v>
      </c>
      <c r="CD119" s="100">
        <f t="shared" si="28"/>
        <v>0.35366058307858594</v>
      </c>
      <c r="CE119" s="471">
        <f t="shared" si="63"/>
        <v>0.39532290274769877</v>
      </c>
      <c r="CG119" s="473">
        <f t="shared" si="64"/>
        <v>1877.6517705489127</v>
      </c>
      <c r="CH119" s="474">
        <f t="shared" si="65"/>
        <v>826.82235759077241</v>
      </c>
      <c r="CI119" s="474">
        <f t="shared" si="66"/>
        <v>3148.9496701893991</v>
      </c>
      <c r="CJ119" s="474">
        <f t="shared" si="67"/>
        <v>3986.17449454898</v>
      </c>
      <c r="CK119" s="474">
        <f t="shared" si="68"/>
        <v>47.977475479079111</v>
      </c>
      <c r="CL119" s="474">
        <f t="shared" si="69"/>
        <v>9887.5757683571446</v>
      </c>
      <c r="CM119" s="576">
        <f t="shared" si="70"/>
        <v>0</v>
      </c>
    </row>
    <row r="120" spans="1:91">
      <c r="A120" s="89">
        <f>'Input data'!A140</f>
        <v>2040</v>
      </c>
      <c r="B120" s="152">
        <f>'Input data'!B140</f>
        <v>71.375305999999995</v>
      </c>
      <c r="C120" s="204">
        <f>'Input data'!C140</f>
        <v>6984.5262976576987</v>
      </c>
      <c r="D120" s="204">
        <f>'Input data'!D140</f>
        <v>33316432.855155304</v>
      </c>
      <c r="E120" s="579">
        <f t="shared" si="88"/>
        <v>1</v>
      </c>
      <c r="F120" s="100">
        <f t="shared" si="89"/>
        <v>0.36725000000000002</v>
      </c>
      <c r="G120" s="475">
        <f>B120*F120*'Input data'!$C$9</f>
        <v>802.29084132839955</v>
      </c>
      <c r="H120" s="301">
        <f>'Input data'!I140</f>
        <v>424.26313389388866</v>
      </c>
      <c r="I120" s="474">
        <f>'Input data'!K140</f>
        <v>30281.911006195274</v>
      </c>
      <c r="J120" s="474">
        <f t="shared" si="91"/>
        <v>2228.8062963921584</v>
      </c>
      <c r="K120" s="475">
        <f t="shared" si="73"/>
        <v>11843.756392220233</v>
      </c>
      <c r="L120" s="100">
        <f t="shared" si="90"/>
        <v>0.7</v>
      </c>
      <c r="M120" s="100">
        <f t="shared" si="87"/>
        <v>0.6</v>
      </c>
      <c r="N120" s="100">
        <f t="shared" si="87"/>
        <v>0.9</v>
      </c>
      <c r="O120" s="100">
        <f t="shared" si="87"/>
        <v>0.9</v>
      </c>
      <c r="P120" s="100">
        <f t="shared" si="87"/>
        <v>0.23600000000000002</v>
      </c>
      <c r="Q120" s="473">
        <f t="shared" si="31"/>
        <v>324.23971764038129</v>
      </c>
      <c r="R120" s="474">
        <f t="shared" si="32"/>
        <v>226.26455251225605</v>
      </c>
      <c r="S120" s="474">
        <f t="shared" si="33"/>
        <v>662.59631243283684</v>
      </c>
      <c r="T120" s="474">
        <f t="shared" si="34"/>
        <v>446.15087795815862</v>
      </c>
      <c r="U120" s="475">
        <f t="shared" si="35"/>
        <v>0</v>
      </c>
      <c r="V120" s="474">
        <f t="shared" si="9"/>
        <v>1659.2514605436327</v>
      </c>
      <c r="W120" s="579">
        <f t="shared" si="86"/>
        <v>0.5</v>
      </c>
      <c r="X120" s="475">
        <f t="shared" si="36"/>
        <v>3033.4854703020706</v>
      </c>
      <c r="Y120" s="474">
        <f t="shared" si="77"/>
        <v>4692.7369308457037</v>
      </c>
      <c r="Z120" s="474">
        <f t="shared" si="78"/>
        <v>9379.8257577666882</v>
      </c>
      <c r="AA120" s="475">
        <f t="shared" si="79"/>
        <v>7151.0194613745298</v>
      </c>
      <c r="AB120" s="938">
        <f t="shared" si="37"/>
        <v>0.762382974486849</v>
      </c>
      <c r="AC120" s="118" t="str">
        <f t="shared" si="38"/>
        <v>Yes</v>
      </c>
      <c r="AD120" s="938">
        <f t="shared" si="39"/>
        <v>0.762382974486849</v>
      </c>
      <c r="AE120" s="579">
        <f t="shared" si="10"/>
        <v>0.3560361583119136</v>
      </c>
      <c r="AF120" s="475">
        <f t="shared" si="11"/>
        <v>273.21011758893553</v>
      </c>
      <c r="AG120" s="473">
        <f t="shared" si="40"/>
        <v>2228.8062963921584</v>
      </c>
      <c r="AH120" s="474">
        <f t="shared" si="80"/>
        <v>9959.9642573763813</v>
      </c>
      <c r="AI120" s="474">
        <f t="shared" si="81"/>
        <v>6437.6604656145792</v>
      </c>
      <c r="AJ120" s="474">
        <f t="shared" si="12"/>
        <v>874.0247258231359</v>
      </c>
      <c r="AK120" s="474">
        <f t="shared" si="41"/>
        <v>19500.455745206255</v>
      </c>
      <c r="AL120" s="640">
        <f t="shared" si="13"/>
        <v>0</v>
      </c>
      <c r="AM120" s="100">
        <f t="shared" si="42"/>
        <v>0.11429508753609822</v>
      </c>
      <c r="AN120" s="100">
        <f t="shared" si="43"/>
        <v>0.51075546066787758</v>
      </c>
      <c r="AO120" s="100">
        <f t="shared" si="44"/>
        <v>0.33012871851454711</v>
      </c>
      <c r="AP120" s="100">
        <f t="shared" si="45"/>
        <v>4.4820733281477031E-2</v>
      </c>
      <c r="AQ120" s="100">
        <f t="shared" si="46"/>
        <v>0.99999999999999989</v>
      </c>
      <c r="AR120" s="473">
        <f t="shared" si="14"/>
        <v>484.79614552234727</v>
      </c>
      <c r="AS120" s="474">
        <f t="shared" si="15"/>
        <v>614.85266763010145</v>
      </c>
      <c r="AT120" s="474">
        <f t="shared" si="16"/>
        <v>120.23818832015957</v>
      </c>
      <c r="AU120" s="474">
        <f t="shared" si="17"/>
        <v>0</v>
      </c>
      <c r="AV120" s="474">
        <f t="shared" si="18"/>
        <v>0</v>
      </c>
      <c r="AW120" s="474">
        <f t="shared" si="19"/>
        <v>0</v>
      </c>
      <c r="AX120" s="474">
        <f t="shared" si="20"/>
        <v>839.70337850741521</v>
      </c>
      <c r="AY120" s="474">
        <f t="shared" si="21"/>
        <v>67.637653370310673</v>
      </c>
      <c r="AZ120" s="474">
        <f t="shared" si="22"/>
        <v>19.012962132638233</v>
      </c>
      <c r="BA120" s="474">
        <f t="shared" si="23"/>
        <v>49.10677773923868</v>
      </c>
      <c r="BB120" s="474">
        <f t="shared" si="24"/>
        <v>33.45852316994646</v>
      </c>
      <c r="BC120" s="475">
        <f t="shared" si="47"/>
        <v>2228.8062963921575</v>
      </c>
      <c r="BD120" s="647">
        <f t="shared" si="48"/>
        <v>0</v>
      </c>
      <c r="BE120" s="383">
        <f t="shared" si="49"/>
        <v>0.21751380831394043</v>
      </c>
      <c r="BF120" s="383">
        <f t="shared" si="50"/>
        <v>0.27586635439130974</v>
      </c>
      <c r="BG120" s="383">
        <f t="shared" si="51"/>
        <v>5.3947347741610877E-2</v>
      </c>
      <c r="BH120" s="383">
        <f t="shared" si="52"/>
        <v>0</v>
      </c>
      <c r="BI120" s="383">
        <f t="shared" si="53"/>
        <v>0</v>
      </c>
      <c r="BJ120" s="383">
        <f t="shared" si="54"/>
        <v>0</v>
      </c>
      <c r="BK120" s="383">
        <f t="shared" si="55"/>
        <v>0.45267248955313899</v>
      </c>
      <c r="BL120" s="383">
        <f t="shared" si="56"/>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89.382285397654201</v>
      </c>
      <c r="BW120" s="100">
        <f t="shared" si="59"/>
        <v>0.75141980415206011</v>
      </c>
      <c r="BX120" s="1385">
        <f t="shared" si="25"/>
        <v>33.316432855155306</v>
      </c>
      <c r="BY120" s="473">
        <f t="shared" si="60"/>
        <v>89.382285397654201</v>
      </c>
      <c r="BZ120" s="100">
        <f t="shared" si="61"/>
        <v>0.75141980415206011</v>
      </c>
      <c r="CA120" s="489">
        <f t="shared" si="26"/>
        <v>33.316432855155306</v>
      </c>
      <c r="CB120" s="579">
        <f t="shared" si="27"/>
        <v>0.3560361583119136</v>
      </c>
      <c r="CC120" s="471">
        <f t="shared" si="62"/>
        <v>0.4044885695009669</v>
      </c>
      <c r="CD120" s="100">
        <f t="shared" si="28"/>
        <v>0.3560361583119136</v>
      </c>
      <c r="CE120" s="471">
        <f t="shared" si="63"/>
        <v>0.4044885695009669</v>
      </c>
      <c r="CG120" s="473">
        <f t="shared" si="64"/>
        <v>1891.3983529022248</v>
      </c>
      <c r="CH120" s="474">
        <f t="shared" si="65"/>
        <v>832.87565341934783</v>
      </c>
      <c r="CI120" s="474">
        <f t="shared" si="66"/>
        <v>3172.003623348689</v>
      </c>
      <c r="CJ120" s="474">
        <f t="shared" si="67"/>
        <v>4015.3579016234294</v>
      </c>
      <c r="CK120" s="474">
        <f t="shared" si="68"/>
        <v>48.328726082690423</v>
      </c>
      <c r="CL120" s="474">
        <f t="shared" si="69"/>
        <v>9959.9642573763813</v>
      </c>
      <c r="CM120" s="576">
        <f t="shared" si="70"/>
        <v>0</v>
      </c>
    </row>
    <row r="121" spans="1:91">
      <c r="A121" s="89">
        <f>'Input data'!A141</f>
        <v>2041</v>
      </c>
      <c r="B121" s="152">
        <f>'Input data'!B141</f>
        <v>71.818612994947316</v>
      </c>
      <c r="C121" s="204">
        <f>'Input data'!C141</f>
        <v>7185.3982187188903</v>
      </c>
      <c r="D121" s="204">
        <f>'Input data'!D141</f>
        <v>30696987.018642712</v>
      </c>
      <c r="E121" s="579">
        <f t="shared" si="88"/>
        <v>1</v>
      </c>
      <c r="F121" s="100">
        <f t="shared" si="89"/>
        <v>0.36725000000000002</v>
      </c>
      <c r="G121" s="475">
        <f>B121*F121*'Input data'!$C$9</f>
        <v>807.27381319745268</v>
      </c>
      <c r="H121" s="301">
        <f>'Input data'!I141</f>
        <v>424.26313389388866</v>
      </c>
      <c r="I121" s="474">
        <f>'Input data'!K141</f>
        <v>30469.989821148705</v>
      </c>
      <c r="J121" s="474">
        <f t="shared" si="91"/>
        <v>2228.8062963921584</v>
      </c>
      <c r="K121" s="475">
        <f t="shared" si="73"/>
        <v>11931.16008722781</v>
      </c>
      <c r="L121" s="100">
        <f t="shared" si="90"/>
        <v>0.7</v>
      </c>
      <c r="M121" s="100">
        <f t="shared" si="87"/>
        <v>0.6</v>
      </c>
      <c r="N121" s="100">
        <f t="shared" si="87"/>
        <v>0.9</v>
      </c>
      <c r="O121" s="100">
        <f t="shared" si="87"/>
        <v>0.9</v>
      </c>
      <c r="P121" s="100">
        <f t="shared" si="87"/>
        <v>0.23600000000000002</v>
      </c>
      <c r="Q121" s="473">
        <f t="shared" si="31"/>
        <v>326.25354767383487</v>
      </c>
      <c r="R121" s="474">
        <f t="shared" si="32"/>
        <v>227.6698657005079</v>
      </c>
      <c r="S121" s="474">
        <f t="shared" si="33"/>
        <v>666.71165142876089</v>
      </c>
      <c r="T121" s="474">
        <f t="shared" si="34"/>
        <v>448.92188961589818</v>
      </c>
      <c r="U121" s="475">
        <f t="shared" si="35"/>
        <v>0</v>
      </c>
      <c r="V121" s="474">
        <f t="shared" si="9"/>
        <v>1669.5569544190018</v>
      </c>
      <c r="W121" s="579">
        <f t="shared" si="86"/>
        <v>0.5</v>
      </c>
      <c r="X121" s="475">
        <f t="shared" si="36"/>
        <v>3033.4854703020706</v>
      </c>
      <c r="Y121" s="474">
        <f t="shared" si="77"/>
        <v>4703.0424247210722</v>
      </c>
      <c r="Z121" s="474">
        <f t="shared" si="78"/>
        <v>9456.9239588988967</v>
      </c>
      <c r="AA121" s="475">
        <f t="shared" si="79"/>
        <v>7228.1176625067383</v>
      </c>
      <c r="AB121" s="938">
        <f t="shared" si="37"/>
        <v>0.76432016308063178</v>
      </c>
      <c r="AC121" s="118" t="str">
        <f t="shared" si="38"/>
        <v>Yes</v>
      </c>
      <c r="AD121" s="938">
        <f t="shared" si="39"/>
        <v>0.76432016308063178</v>
      </c>
      <c r="AE121" s="579">
        <f t="shared" si="10"/>
        <v>0.35803801704304605</v>
      </c>
      <c r="AF121" s="475">
        <f t="shared" si="11"/>
        <v>272.36080273005246</v>
      </c>
      <c r="AG121" s="473">
        <f t="shared" si="40"/>
        <v>2228.8062963921584</v>
      </c>
      <c r="AH121" s="474">
        <f t="shared" si="80"/>
        <v>10021.82489338851</v>
      </c>
      <c r="AI121" s="474">
        <f t="shared" si="81"/>
        <v>6437.6604656145792</v>
      </c>
      <c r="AJ121" s="474">
        <f t="shared" si="12"/>
        <v>872.2834308675798</v>
      </c>
      <c r="AK121" s="474">
        <f t="shared" si="41"/>
        <v>19560.575086262827</v>
      </c>
      <c r="AL121" s="640">
        <f t="shared" si="13"/>
        <v>0</v>
      </c>
      <c r="AM121" s="100">
        <f t="shared" si="42"/>
        <v>0.11394380208981811</v>
      </c>
      <c r="AN121" s="100">
        <f t="shared" si="43"/>
        <v>0.51234817223889928</v>
      </c>
      <c r="AO121" s="100">
        <f t="shared" si="44"/>
        <v>0.32911406935758636</v>
      </c>
      <c r="AP121" s="100">
        <f t="shared" si="45"/>
        <v>4.4593956313696254E-2</v>
      </c>
      <c r="AQ121" s="100">
        <f t="shared" si="46"/>
        <v>1</v>
      </c>
      <c r="AR121" s="473">
        <f t="shared" si="14"/>
        <v>485.78790940522276</v>
      </c>
      <c r="AS121" s="474">
        <f t="shared" si="15"/>
        <v>616.11049254203056</v>
      </c>
      <c r="AT121" s="474">
        <f t="shared" si="16"/>
        <v>119.9986411487795</v>
      </c>
      <c r="AU121" s="474">
        <f t="shared" si="17"/>
        <v>0</v>
      </c>
      <c r="AV121" s="474">
        <f t="shared" si="18"/>
        <v>0</v>
      </c>
      <c r="AW121" s="474">
        <f t="shared" si="19"/>
        <v>0</v>
      </c>
      <c r="AX121" s="474">
        <f t="shared" si="20"/>
        <v>838.03046100982215</v>
      </c>
      <c r="AY121" s="474">
        <f t="shared" si="21"/>
        <v>67.502900769909758</v>
      </c>
      <c r="AZ121" s="474">
        <f t="shared" si="22"/>
        <v>18.975083141262264</v>
      </c>
      <c r="BA121" s="474">
        <f t="shared" si="23"/>
        <v>49.008943682793195</v>
      </c>
      <c r="BB121" s="474">
        <f t="shared" si="24"/>
        <v>33.391864692337244</v>
      </c>
      <c r="BC121" s="475">
        <f t="shared" si="47"/>
        <v>2228.8062963921575</v>
      </c>
      <c r="BD121" s="647">
        <f t="shared" si="48"/>
        <v>0</v>
      </c>
      <c r="BE121" s="383">
        <f t="shared" si="49"/>
        <v>0.21795878367338772</v>
      </c>
      <c r="BF121" s="383">
        <f t="shared" si="50"/>
        <v>0.27643070352921606</v>
      </c>
      <c r="BG121" s="383">
        <f t="shared" si="51"/>
        <v>5.3839869953268379E-2</v>
      </c>
      <c r="BH121" s="383">
        <f t="shared" si="52"/>
        <v>0</v>
      </c>
      <c r="BI121" s="383">
        <f t="shared" si="53"/>
        <v>0</v>
      </c>
      <c r="BJ121" s="383">
        <f t="shared" si="54"/>
        <v>0</v>
      </c>
      <c r="BK121" s="383">
        <f t="shared" si="55"/>
        <v>0.45177064284412777</v>
      </c>
      <c r="BL121" s="383">
        <f t="shared" si="56"/>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87.852938915185021</v>
      </c>
      <c r="BW121" s="100">
        <f t="shared" si="59"/>
        <v>0.76498226738310005</v>
      </c>
      <c r="BX121" s="1385">
        <f t="shared" si="25"/>
        <v>30.696987018642712</v>
      </c>
      <c r="BY121" s="473">
        <f t="shared" si="60"/>
        <v>87.852938915185021</v>
      </c>
      <c r="BZ121" s="100">
        <f t="shared" si="61"/>
        <v>0.76498226738310005</v>
      </c>
      <c r="CA121" s="489">
        <f t="shared" si="26"/>
        <v>30.696987018642712</v>
      </c>
      <c r="CB121" s="579">
        <f t="shared" si="27"/>
        <v>0.35803801704304605</v>
      </c>
      <c r="CC121" s="471">
        <f t="shared" si="62"/>
        <v>0.41702627838995165</v>
      </c>
      <c r="CD121" s="100">
        <f t="shared" si="28"/>
        <v>0.35803801704304605</v>
      </c>
      <c r="CE121" s="471">
        <f t="shared" si="63"/>
        <v>0.41702627838995165</v>
      </c>
      <c r="CG121" s="473">
        <f t="shared" si="64"/>
        <v>1903.1456947640361</v>
      </c>
      <c r="CH121" s="474">
        <f t="shared" si="65"/>
        <v>838.04858540064276</v>
      </c>
      <c r="CI121" s="474">
        <f t="shared" si="66"/>
        <v>3191.7047142866213</v>
      </c>
      <c r="CJ121" s="474">
        <f t="shared" si="67"/>
        <v>4040.2970065430868</v>
      </c>
      <c r="CK121" s="474">
        <f t="shared" si="68"/>
        <v>48.628892394122417</v>
      </c>
      <c r="CL121" s="474">
        <f t="shared" si="69"/>
        <v>10021.82489338851</v>
      </c>
      <c r="CM121" s="576">
        <f t="shared" si="70"/>
        <v>0</v>
      </c>
    </row>
    <row r="122" spans="1:91">
      <c r="A122" s="89">
        <f>'Input data'!A142</f>
        <v>2042</v>
      </c>
      <c r="B122" s="152">
        <f>'Input data'!B142</f>
        <v>72.264673338395411</v>
      </c>
      <c r="C122" s="204">
        <f>'Input data'!C142</f>
        <v>7378.5415978844649</v>
      </c>
      <c r="D122" s="204">
        <f>'Input data'!D142</f>
        <v>28077541.182130113</v>
      </c>
      <c r="E122" s="579">
        <f t="shared" si="88"/>
        <v>1</v>
      </c>
      <c r="F122" s="100">
        <f t="shared" si="89"/>
        <v>0.36725000000000002</v>
      </c>
      <c r="G122" s="475">
        <f>B122*F122*'Input data'!$C$9</f>
        <v>812.28773395357814</v>
      </c>
      <c r="H122" s="301">
        <f>'Input data'!I142</f>
        <v>424.26313389388866</v>
      </c>
      <c r="I122" s="474">
        <f>'Input data'!K142</f>
        <v>30659.23678036578</v>
      </c>
      <c r="J122" s="474">
        <f t="shared" si="91"/>
        <v>2228.8062963921584</v>
      </c>
      <c r="K122" s="475">
        <f t="shared" si="73"/>
        <v>12019.106640424758</v>
      </c>
      <c r="L122" s="100">
        <f t="shared" si="90"/>
        <v>0.7</v>
      </c>
      <c r="M122" s="100">
        <f t="shared" si="87"/>
        <v>0.6</v>
      </c>
      <c r="N122" s="100">
        <f t="shared" si="87"/>
        <v>0.9</v>
      </c>
      <c r="O122" s="100">
        <f t="shared" si="87"/>
        <v>0.9</v>
      </c>
      <c r="P122" s="100">
        <f t="shared" si="87"/>
        <v>0.23600000000000002</v>
      </c>
      <c r="Q122" s="473">
        <f t="shared" si="31"/>
        <v>328.27988546368874</v>
      </c>
      <c r="R122" s="474">
        <f t="shared" si="32"/>
        <v>229.08390718992371</v>
      </c>
      <c r="S122" s="474">
        <f t="shared" si="33"/>
        <v>670.85255050513388</v>
      </c>
      <c r="T122" s="474">
        <f t="shared" si="34"/>
        <v>451.7101118317396</v>
      </c>
      <c r="U122" s="475">
        <f t="shared" si="35"/>
        <v>0</v>
      </c>
      <c r="V122" s="474">
        <f t="shared" si="9"/>
        <v>1679.926454990486</v>
      </c>
      <c r="W122" s="579">
        <f t="shared" si="86"/>
        <v>0.5</v>
      </c>
      <c r="X122" s="475">
        <f t="shared" si="36"/>
        <v>3033.4854703020706</v>
      </c>
      <c r="Y122" s="474">
        <f t="shared" si="77"/>
        <v>4713.4119252925566</v>
      </c>
      <c r="Z122" s="474">
        <f t="shared" si="78"/>
        <v>9534.5010115243604</v>
      </c>
      <c r="AA122" s="475">
        <f t="shared" si="79"/>
        <v>7305.694715132202</v>
      </c>
      <c r="AB122" s="938">
        <f t="shared" si="37"/>
        <v>0.76623776181908232</v>
      </c>
      <c r="AC122" s="118" t="str">
        <f t="shared" si="38"/>
        <v>Yes</v>
      </c>
      <c r="AD122" s="938">
        <f t="shared" si="39"/>
        <v>0.76623776181908232</v>
      </c>
      <c r="AE122" s="579">
        <f t="shared" si="10"/>
        <v>0.36002659202487586</v>
      </c>
      <c r="AF122" s="475">
        <f t="shared" si="11"/>
        <v>271.51712367627835</v>
      </c>
      <c r="AG122" s="473">
        <f t="shared" si="40"/>
        <v>2228.8062963921584</v>
      </c>
      <c r="AH122" s="474">
        <f t="shared" si="80"/>
        <v>10084.069741450892</v>
      </c>
      <c r="AI122" s="474">
        <f t="shared" si="81"/>
        <v>6437.6604656145792</v>
      </c>
      <c r="AJ122" s="474">
        <f t="shared" si="12"/>
        <v>870.55974478933149</v>
      </c>
      <c r="AK122" s="474">
        <f t="shared" si="41"/>
        <v>19621.096248246962</v>
      </c>
      <c r="AL122" s="640">
        <f t="shared" si="13"/>
        <v>0</v>
      </c>
      <c r="AM122" s="100">
        <f t="shared" si="42"/>
        <v>0.11359234306754344</v>
      </c>
      <c r="AN122" s="100">
        <f t="shared" si="43"/>
        <v>0.51394018019517385</v>
      </c>
      <c r="AO122" s="100">
        <f t="shared" si="44"/>
        <v>0.32809891884556391</v>
      </c>
      <c r="AP122" s="100">
        <f t="shared" si="45"/>
        <v>4.4368557891718778E-2</v>
      </c>
      <c r="AQ122" s="100">
        <f t="shared" si="46"/>
        <v>1</v>
      </c>
      <c r="AR122" s="473">
        <f t="shared" si="14"/>
        <v>486.76964405756706</v>
      </c>
      <c r="AS122" s="474">
        <f t="shared" si="15"/>
        <v>617.35559767637187</v>
      </c>
      <c r="AT122" s="474">
        <f t="shared" si="16"/>
        <v>119.76151640258189</v>
      </c>
      <c r="AU122" s="474">
        <f t="shared" si="17"/>
        <v>0</v>
      </c>
      <c r="AV122" s="474">
        <f t="shared" si="18"/>
        <v>0</v>
      </c>
      <c r="AW122" s="474">
        <f t="shared" si="19"/>
        <v>0</v>
      </c>
      <c r="AX122" s="474">
        <f t="shared" si="20"/>
        <v>836.374460921234</v>
      </c>
      <c r="AY122" s="474">
        <f t="shared" si="21"/>
        <v>67.369510857662121</v>
      </c>
      <c r="AZ122" s="474">
        <f t="shared" si="22"/>
        <v>18.937587201884288</v>
      </c>
      <c r="BA122" s="474">
        <f t="shared" si="23"/>
        <v>48.912098975045339</v>
      </c>
      <c r="BB122" s="474">
        <f t="shared" si="24"/>
        <v>33.325880299810507</v>
      </c>
      <c r="BC122" s="475">
        <f t="shared" si="47"/>
        <v>2228.806296392157</v>
      </c>
      <c r="BD122" s="647">
        <f t="shared" si="48"/>
        <v>0</v>
      </c>
      <c r="BE122" s="383">
        <f t="shared" si="49"/>
        <v>0.21839925921131742</v>
      </c>
      <c r="BF122" s="383">
        <f t="shared" si="50"/>
        <v>0.27698934567607153</v>
      </c>
      <c r="BG122" s="383">
        <f t="shared" si="51"/>
        <v>5.3733479036039984E-2</v>
      </c>
      <c r="BH122" s="383">
        <f t="shared" si="52"/>
        <v>0</v>
      </c>
      <c r="BI122" s="383">
        <f t="shared" si="53"/>
        <v>0</v>
      </c>
      <c r="BJ122" s="383">
        <f t="shared" si="54"/>
        <v>0</v>
      </c>
      <c r="BK122" s="383">
        <f t="shared" si="55"/>
        <v>0.45087791607657107</v>
      </c>
      <c r="BL122" s="383">
        <f t="shared" si="56"/>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86.284365799651582</v>
      </c>
      <c r="BW122" s="100">
        <f t="shared" si="59"/>
        <v>0.77892482805097885</v>
      </c>
      <c r="BX122" s="1385">
        <f t="shared" si="25"/>
        <v>28.077541182130112</v>
      </c>
      <c r="BY122" s="473">
        <f t="shared" si="60"/>
        <v>86.284365799651582</v>
      </c>
      <c r="BZ122" s="100">
        <f t="shared" si="61"/>
        <v>0.77892482805097885</v>
      </c>
      <c r="CA122" s="489">
        <f t="shared" si="26"/>
        <v>28.077541182130112</v>
      </c>
      <c r="CB122" s="579">
        <f t="shared" si="27"/>
        <v>0.36002659202487586</v>
      </c>
      <c r="CC122" s="471">
        <f t="shared" si="62"/>
        <v>0.42949271482438589</v>
      </c>
      <c r="CD122" s="100">
        <f t="shared" si="28"/>
        <v>0.36002659202487586</v>
      </c>
      <c r="CE122" s="471">
        <f t="shared" si="63"/>
        <v>0.42949271482438589</v>
      </c>
      <c r="CG122" s="473">
        <f t="shared" si="64"/>
        <v>1914.9659985381836</v>
      </c>
      <c r="CH122" s="474">
        <f t="shared" si="65"/>
        <v>843.25364609787891</v>
      </c>
      <c r="CI122" s="474">
        <f t="shared" si="66"/>
        <v>3211.5281673118106</v>
      </c>
      <c r="CJ122" s="474">
        <f t="shared" si="67"/>
        <v>4065.3910064856605</v>
      </c>
      <c r="CK122" s="474">
        <f t="shared" si="68"/>
        <v>48.930923017358609</v>
      </c>
      <c r="CL122" s="474">
        <f t="shared" si="69"/>
        <v>10084.069741450892</v>
      </c>
      <c r="CM122" s="576">
        <f t="shared" si="70"/>
        <v>0</v>
      </c>
    </row>
    <row r="123" spans="1:91">
      <c r="A123" s="89">
        <f>'Input data'!A143</f>
        <v>2043</v>
      </c>
      <c r="B123" s="152">
        <f>'Input data'!B143</f>
        <v>72.713504131197794</v>
      </c>
      <c r="C123" s="204">
        <f>'Input data'!C143</f>
        <v>7577.166622606117</v>
      </c>
      <c r="D123" s="204">
        <f>'Input data'!D143</f>
        <v>25458095.345617522</v>
      </c>
      <c r="E123" s="579">
        <f t="shared" si="88"/>
        <v>1</v>
      </c>
      <c r="F123" s="100">
        <f t="shared" si="89"/>
        <v>0.36725000000000002</v>
      </c>
      <c r="G123" s="475">
        <f>B123*F123*'Input data'!$C$9</f>
        <v>817.33279581813269</v>
      </c>
      <c r="H123" s="301">
        <f>'Input data'!I143</f>
        <v>424.26313389388866</v>
      </c>
      <c r="I123" s="474">
        <f>'Input data'!K143</f>
        <v>30849.659139108197</v>
      </c>
      <c r="J123" s="474">
        <f t="shared" si="91"/>
        <v>2228.8062963921584</v>
      </c>
      <c r="K123" s="475">
        <f t="shared" si="73"/>
        <v>12107.59942346503</v>
      </c>
      <c r="L123" s="100">
        <f t="shared" si="90"/>
        <v>0.7</v>
      </c>
      <c r="M123" s="100">
        <f t="shared" si="87"/>
        <v>0.6</v>
      </c>
      <c r="N123" s="100">
        <f t="shared" si="87"/>
        <v>0.9</v>
      </c>
      <c r="O123" s="100">
        <f t="shared" si="87"/>
        <v>0.9</v>
      </c>
      <c r="P123" s="100">
        <f t="shared" si="87"/>
        <v>0.23600000000000002</v>
      </c>
      <c r="Q123" s="473">
        <f t="shared" si="31"/>
        <v>330.31880869473662</v>
      </c>
      <c r="R123" s="474">
        <f t="shared" si="32"/>
        <v>230.50673119136695</v>
      </c>
      <c r="S123" s="474">
        <f t="shared" si="33"/>
        <v>675.01916841381444</v>
      </c>
      <c r="T123" s="474">
        <f t="shared" si="34"/>
        <v>454.51565149924636</v>
      </c>
      <c r="U123" s="475">
        <f t="shared" si="35"/>
        <v>0</v>
      </c>
      <c r="V123" s="474">
        <f t="shared" si="9"/>
        <v>1690.3603597991644</v>
      </c>
      <c r="W123" s="579">
        <f t="shared" si="86"/>
        <v>0.5</v>
      </c>
      <c r="X123" s="475">
        <f t="shared" si="36"/>
        <v>3033.4854703020706</v>
      </c>
      <c r="Y123" s="474">
        <f t="shared" si="77"/>
        <v>4723.8458301012352</v>
      </c>
      <c r="Z123" s="474">
        <f t="shared" si="78"/>
        <v>9612.5598897559539</v>
      </c>
      <c r="AA123" s="475">
        <f t="shared" si="79"/>
        <v>7383.7535933637955</v>
      </c>
      <c r="AB123" s="938">
        <f t="shared" si="37"/>
        <v>0.7681360301570257</v>
      </c>
      <c r="AC123" s="118" t="str">
        <f t="shared" si="38"/>
        <v>Yes</v>
      </c>
      <c r="AD123" s="938">
        <f t="shared" si="39"/>
        <v>0.7681360301570257</v>
      </c>
      <c r="AE123" s="579">
        <f t="shared" si="10"/>
        <v>0.36200198208013235</v>
      </c>
      <c r="AF123" s="475">
        <f t="shared" si="11"/>
        <v>270.67903850077238</v>
      </c>
      <c r="AG123" s="473">
        <f t="shared" si="40"/>
        <v>2228.8062963921584</v>
      </c>
      <c r="AH123" s="474">
        <f t="shared" si="80"/>
        <v>10146.701187877499</v>
      </c>
      <c r="AI123" s="474">
        <f t="shared" si="81"/>
        <v>6437.6604656145792</v>
      </c>
      <c r="AJ123" s="474">
        <f t="shared" si="12"/>
        <v>868.85343437032486</v>
      </c>
      <c r="AK123" s="474">
        <f t="shared" si="41"/>
        <v>19682.02138425456</v>
      </c>
      <c r="AL123" s="640">
        <f t="shared" si="13"/>
        <v>0</v>
      </c>
      <c r="AM123" s="100">
        <f t="shared" si="42"/>
        <v>0.11324072120840105</v>
      </c>
      <c r="AN123" s="100">
        <f t="shared" si="43"/>
        <v>0.51553145836914749</v>
      </c>
      <c r="AO123" s="100">
        <f t="shared" si="44"/>
        <v>0.32708329799726005</v>
      </c>
      <c r="AP123" s="100">
        <f t="shared" si="45"/>
        <v>4.414452242519154E-2</v>
      </c>
      <c r="AQ123" s="100">
        <f t="shared" si="46"/>
        <v>1</v>
      </c>
      <c r="AR123" s="473">
        <f t="shared" si="14"/>
        <v>487.74148230998145</v>
      </c>
      <c r="AS123" s="474">
        <f t="shared" si="15"/>
        <v>618.58815149826364</v>
      </c>
      <c r="AT123" s="474">
        <f t="shared" si="16"/>
        <v>119.52678199812902</v>
      </c>
      <c r="AU123" s="474">
        <f t="shared" si="17"/>
        <v>0</v>
      </c>
      <c r="AV123" s="474">
        <f t="shared" si="18"/>
        <v>0</v>
      </c>
      <c r="AW123" s="474">
        <f t="shared" si="19"/>
        <v>0</v>
      </c>
      <c r="AX123" s="474">
        <f t="shared" si="20"/>
        <v>834.73515418163026</v>
      </c>
      <c r="AY123" s="474">
        <f t="shared" si="21"/>
        <v>67.237465585654235</v>
      </c>
      <c r="AZ123" s="474">
        <f t="shared" si="22"/>
        <v>18.900469241231061</v>
      </c>
      <c r="BA123" s="474">
        <f t="shared" si="23"/>
        <v>48.816230512718512</v>
      </c>
      <c r="BB123" s="474">
        <f t="shared" si="24"/>
        <v>33.260561064550103</v>
      </c>
      <c r="BC123" s="475">
        <f t="shared" si="47"/>
        <v>2228.8062963921579</v>
      </c>
      <c r="BD123" s="647">
        <f t="shared" si="48"/>
        <v>0</v>
      </c>
      <c r="BE123" s="383">
        <f t="shared" si="49"/>
        <v>0.21883529452492334</v>
      </c>
      <c r="BF123" s="383">
        <f t="shared" si="50"/>
        <v>0.27754235641724123</v>
      </c>
      <c r="BG123" s="383">
        <f t="shared" si="51"/>
        <v>5.3628160595028361E-2</v>
      </c>
      <c r="BH123" s="383">
        <f t="shared" si="52"/>
        <v>0</v>
      </c>
      <c r="BI123" s="383">
        <f t="shared" si="53"/>
        <v>0</v>
      </c>
      <c r="BJ123" s="383">
        <f t="shared" si="54"/>
        <v>0</v>
      </c>
      <c r="BK123" s="383">
        <f t="shared" si="55"/>
        <v>0.44999418846280725</v>
      </c>
      <c r="BL123" s="383">
        <f t="shared" si="56"/>
        <v>1.0000000000000002</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84.744304047821643</v>
      </c>
      <c r="BW123" s="100">
        <f t="shared" si="59"/>
        <v>0.79345321552366188</v>
      </c>
      <c r="BX123" s="1385">
        <f t="shared" si="25"/>
        <v>25.458095345617522</v>
      </c>
      <c r="BY123" s="473">
        <f t="shared" si="60"/>
        <v>84.744304047821643</v>
      </c>
      <c r="BZ123" s="100">
        <f t="shared" si="61"/>
        <v>0.79345321552366188</v>
      </c>
      <c r="CA123" s="489">
        <f t="shared" si="26"/>
        <v>25.458095345617522</v>
      </c>
      <c r="CB123" s="579">
        <f t="shared" si="27"/>
        <v>0.36200198208013235</v>
      </c>
      <c r="CC123" s="471">
        <f t="shared" si="62"/>
        <v>0.44209693920459781</v>
      </c>
      <c r="CD123" s="100">
        <f t="shared" si="28"/>
        <v>0.36200198208013235</v>
      </c>
      <c r="CE123" s="471">
        <f t="shared" si="63"/>
        <v>0.44209693920459781</v>
      </c>
      <c r="CG123" s="473">
        <f t="shared" si="64"/>
        <v>1926.8597173859628</v>
      </c>
      <c r="CH123" s="474">
        <f t="shared" si="65"/>
        <v>848.49103506024642</v>
      </c>
      <c r="CI123" s="474">
        <f t="shared" si="66"/>
        <v>3231.4747424065586</v>
      </c>
      <c r="CJ123" s="474">
        <f t="shared" si="67"/>
        <v>4090.6408634932222</v>
      </c>
      <c r="CK123" s="474">
        <f t="shared" si="68"/>
        <v>49.23482953150824</v>
      </c>
      <c r="CL123" s="474">
        <f t="shared" si="69"/>
        <v>10146.701187877499</v>
      </c>
      <c r="CM123" s="576">
        <f t="shared" si="70"/>
        <v>0</v>
      </c>
    </row>
    <row r="124" spans="1:91">
      <c r="A124" s="89">
        <f>'Input data'!A144</f>
        <v>2044</v>
      </c>
      <c r="B124" s="152">
        <f>'Input data'!B144</f>
        <v>73.165122580420132</v>
      </c>
      <c r="C124" s="204">
        <f>'Input data'!C144</f>
        <v>7783.6023406905715</v>
      </c>
      <c r="D124" s="204">
        <f>'Input data'!D144</f>
        <v>22838649.509104934</v>
      </c>
      <c r="E124" s="579">
        <f t="shared" si="88"/>
        <v>1</v>
      </c>
      <c r="F124" s="100">
        <f t="shared" si="89"/>
        <v>0.36725000000000002</v>
      </c>
      <c r="G124" s="475">
        <f>B124*F124*'Input data'!$C$9</f>
        <v>822.40919220634601</v>
      </c>
      <c r="H124" s="301">
        <f>'Input data'!I144</f>
        <v>424.26313389388866</v>
      </c>
      <c r="I124" s="474">
        <f>'Input data'!K144</f>
        <v>31041.264197699562</v>
      </c>
      <c r="J124" s="474">
        <f t="shared" si="91"/>
        <v>2228.8062963921584</v>
      </c>
      <c r="K124" s="475">
        <f t="shared" si="73"/>
        <v>12196.641828943688</v>
      </c>
      <c r="L124" s="100">
        <f t="shared" si="90"/>
        <v>0.7</v>
      </c>
      <c r="M124" s="100">
        <f t="shared" si="87"/>
        <v>0.6</v>
      </c>
      <c r="N124" s="100">
        <f t="shared" si="87"/>
        <v>0.9</v>
      </c>
      <c r="O124" s="100">
        <f t="shared" si="87"/>
        <v>0.9</v>
      </c>
      <c r="P124" s="100">
        <f t="shared" si="87"/>
        <v>0.23600000000000002</v>
      </c>
      <c r="Q124" s="473">
        <f t="shared" si="31"/>
        <v>332.37039553426666</v>
      </c>
      <c r="R124" s="474">
        <f t="shared" si="32"/>
        <v>231.93839225240072</v>
      </c>
      <c r="S124" s="474">
        <f t="shared" si="33"/>
        <v>679.21166489265761</v>
      </c>
      <c r="T124" s="474">
        <f t="shared" si="34"/>
        <v>457.33861617588991</v>
      </c>
      <c r="U124" s="475">
        <f t="shared" si="35"/>
        <v>0</v>
      </c>
      <c r="V124" s="474">
        <f t="shared" si="9"/>
        <v>1700.8590688552149</v>
      </c>
      <c r="W124" s="579">
        <f t="shared" si="86"/>
        <v>0.5</v>
      </c>
      <c r="X124" s="475">
        <f t="shared" si="36"/>
        <v>3033.4854703020706</v>
      </c>
      <c r="Y124" s="474">
        <f t="shared" si="77"/>
        <v>4734.3445391572859</v>
      </c>
      <c r="Z124" s="474">
        <f t="shared" si="78"/>
        <v>9691.1035861785604</v>
      </c>
      <c r="AA124" s="475">
        <f t="shared" si="79"/>
        <v>7462.297289786402</v>
      </c>
      <c r="AB124" s="938">
        <f t="shared" si="37"/>
        <v>0.77001522307832115</v>
      </c>
      <c r="AC124" s="118" t="str">
        <f t="shared" si="38"/>
        <v>Yes</v>
      </c>
      <c r="AD124" s="938">
        <f t="shared" si="39"/>
        <v>0.77001522307832115</v>
      </c>
      <c r="AE124" s="579">
        <f t="shared" si="10"/>
        <v>0.36396428507300427</v>
      </c>
      <c r="AF124" s="475">
        <f t="shared" si="11"/>
        <v>269.84650568336718</v>
      </c>
      <c r="AG124" s="473">
        <f t="shared" si="40"/>
        <v>2228.8062963921584</v>
      </c>
      <c r="AH124" s="474">
        <f t="shared" si="80"/>
        <v>10209.721633803518</v>
      </c>
      <c r="AI124" s="474">
        <f t="shared" si="81"/>
        <v>6437.6604656145792</v>
      </c>
      <c r="AJ124" s="474">
        <f t="shared" si="12"/>
        <v>867.16427041134273</v>
      </c>
      <c r="AK124" s="474">
        <f t="shared" si="41"/>
        <v>19743.352666221599</v>
      </c>
      <c r="AL124" s="640">
        <f t="shared" si="13"/>
        <v>0</v>
      </c>
      <c r="AM124" s="100">
        <f t="shared" si="42"/>
        <v>0.11288894718501212</v>
      </c>
      <c r="AN124" s="100">
        <f t="shared" si="43"/>
        <v>0.51712198056772152</v>
      </c>
      <c r="AO124" s="100">
        <f t="shared" si="44"/>
        <v>0.32606723763936046</v>
      </c>
      <c r="AP124" s="100">
        <f t="shared" si="45"/>
        <v>4.3921834607905885E-2</v>
      </c>
      <c r="AQ124" s="100">
        <f t="shared" si="46"/>
        <v>0.99999999999999989</v>
      </c>
      <c r="AR124" s="473">
        <f t="shared" si="14"/>
        <v>488.70355470410806</v>
      </c>
      <c r="AS124" s="474">
        <f t="shared" si="15"/>
        <v>619.80831956982433</v>
      </c>
      <c r="AT124" s="474">
        <f t="shared" si="16"/>
        <v>119.29440640485001</v>
      </c>
      <c r="AU124" s="474">
        <f t="shared" si="17"/>
        <v>0</v>
      </c>
      <c r="AV124" s="474">
        <f t="shared" si="18"/>
        <v>0</v>
      </c>
      <c r="AW124" s="474">
        <f t="shared" si="19"/>
        <v>0</v>
      </c>
      <c r="AX124" s="474">
        <f t="shared" si="20"/>
        <v>833.11232059202621</v>
      </c>
      <c r="AY124" s="474">
        <f t="shared" si="21"/>
        <v>67.106747216976913</v>
      </c>
      <c r="AZ124" s="474">
        <f t="shared" si="22"/>
        <v>18.863724273452586</v>
      </c>
      <c r="BA124" s="474">
        <f t="shared" si="23"/>
        <v>48.721325418333805</v>
      </c>
      <c r="BB124" s="474">
        <f t="shared" si="24"/>
        <v>33.195898212585334</v>
      </c>
      <c r="BC124" s="475">
        <f t="shared" si="47"/>
        <v>2228.8062963921575</v>
      </c>
      <c r="BD124" s="647">
        <f t="shared" si="48"/>
        <v>0</v>
      </c>
      <c r="BE124" s="383">
        <f t="shared" si="49"/>
        <v>0.21926694818441095</v>
      </c>
      <c r="BF124" s="383">
        <f t="shared" si="50"/>
        <v>0.27808981003559108</v>
      </c>
      <c r="BG124" s="383">
        <f t="shared" si="51"/>
        <v>5.3523900483391409E-2</v>
      </c>
      <c r="BH124" s="383">
        <f t="shared" si="52"/>
        <v>0</v>
      </c>
      <c r="BI124" s="383">
        <f t="shared" si="53"/>
        <v>0</v>
      </c>
      <c r="BJ124" s="383">
        <f t="shared" si="54"/>
        <v>0</v>
      </c>
      <c r="BK124" s="383">
        <f t="shared" si="55"/>
        <v>0.44911934129660647</v>
      </c>
      <c r="BL124" s="383">
        <f t="shared" si="56"/>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83.244698131368921</v>
      </c>
      <c r="BW124" s="100">
        <f t="shared" si="59"/>
        <v>0.80861248392404828</v>
      </c>
      <c r="BX124" s="1385">
        <f t="shared" si="25"/>
        <v>22.838649509104933</v>
      </c>
      <c r="BY124" s="473">
        <f t="shared" si="60"/>
        <v>83.244698131368921</v>
      </c>
      <c r="BZ124" s="100">
        <f t="shared" si="61"/>
        <v>0.80861248392404828</v>
      </c>
      <c r="CA124" s="489">
        <f t="shared" si="26"/>
        <v>22.838649509104933</v>
      </c>
      <c r="CB124" s="579">
        <f t="shared" si="27"/>
        <v>0.36396428507300427</v>
      </c>
      <c r="CC124" s="471">
        <f t="shared" si="62"/>
        <v>0.45484697697563492</v>
      </c>
      <c r="CD124" s="100">
        <f t="shared" si="28"/>
        <v>0.36396428507300427</v>
      </c>
      <c r="CE124" s="471">
        <f t="shared" si="63"/>
        <v>0.45484697697563492</v>
      </c>
      <c r="CG124" s="473">
        <f t="shared" si="64"/>
        <v>1938.8273072832219</v>
      </c>
      <c r="CH124" s="474">
        <f t="shared" si="65"/>
        <v>853.76095307632158</v>
      </c>
      <c r="CI124" s="474">
        <f t="shared" si="66"/>
        <v>3251.5452042733609</v>
      </c>
      <c r="CJ124" s="474">
        <f t="shared" si="67"/>
        <v>4116.0475455830165</v>
      </c>
      <c r="CK124" s="474">
        <f t="shared" si="68"/>
        <v>49.540623587597544</v>
      </c>
      <c r="CL124" s="474">
        <f t="shared" si="69"/>
        <v>10209.72163380352</v>
      </c>
      <c r="CM124" s="576">
        <f t="shared" si="70"/>
        <v>0</v>
      </c>
    </row>
    <row r="125" spans="1:91">
      <c r="A125" s="89">
        <f>'Input data'!A145</f>
        <v>2045</v>
      </c>
      <c r="B125" s="152">
        <f>'Input data'!B145</f>
        <v>73.619545999999971</v>
      </c>
      <c r="C125" s="204">
        <f>'Input data'!C145</f>
        <v>7997.9247065980107</v>
      </c>
      <c r="D125" s="204">
        <f>'Input data'!D145</f>
        <v>20219203.672592338</v>
      </c>
      <c r="E125" s="579">
        <f t="shared" si="88"/>
        <v>1</v>
      </c>
      <c r="F125" s="100">
        <f t="shared" si="89"/>
        <v>0.36725000000000002</v>
      </c>
      <c r="G125" s="475">
        <f>B125*F125*'Input data'!$C$9</f>
        <v>827.51711773473585</v>
      </c>
      <c r="H125" s="301">
        <f>'Input data'!I145</f>
        <v>424.26313389388866</v>
      </c>
      <c r="I125" s="474">
        <f>'Input data'!K145</f>
        <v>31234.059301805282</v>
      </c>
      <c r="J125" s="474">
        <f t="shared" si="91"/>
        <v>2228.8062963921584</v>
      </c>
      <c r="K125" s="475">
        <f t="shared" si="73"/>
        <v>12286.237270526955</v>
      </c>
      <c r="L125" s="100">
        <f t="shared" si="90"/>
        <v>0.7</v>
      </c>
      <c r="M125" s="100">
        <f t="shared" si="87"/>
        <v>0.6</v>
      </c>
      <c r="N125" s="100">
        <f t="shared" si="87"/>
        <v>0.9</v>
      </c>
      <c r="O125" s="100">
        <f t="shared" si="87"/>
        <v>0.9</v>
      </c>
      <c r="P125" s="100">
        <f t="shared" si="87"/>
        <v>0.23600000000000002</v>
      </c>
      <c r="Q125" s="473">
        <f t="shared" si="31"/>
        <v>334.43472463505896</v>
      </c>
      <c r="R125" s="474">
        <f t="shared" si="32"/>
        <v>233.37894525937941</v>
      </c>
      <c r="S125" s="474">
        <f t="shared" si="33"/>
        <v>683.43020067163889</v>
      </c>
      <c r="T125" s="474">
        <f t="shared" si="34"/>
        <v>460.17911408717418</v>
      </c>
      <c r="U125" s="475">
        <f t="shared" si="35"/>
        <v>0</v>
      </c>
      <c r="V125" s="474">
        <f t="shared" si="9"/>
        <v>1711.4229846532514</v>
      </c>
      <c r="W125" s="579">
        <f t="shared" si="86"/>
        <v>0.5</v>
      </c>
      <c r="X125" s="475">
        <f t="shared" si="36"/>
        <v>3033.4854703020706</v>
      </c>
      <c r="Y125" s="474">
        <f t="shared" si="77"/>
        <v>4744.9084549553218</v>
      </c>
      <c r="Z125" s="474">
        <f t="shared" si="78"/>
        <v>9770.1351119637911</v>
      </c>
      <c r="AA125" s="475">
        <f t="shared" si="79"/>
        <v>7541.3288155716327</v>
      </c>
      <c r="AB125" s="938">
        <f t="shared" si="37"/>
        <v>0.77187559119188376</v>
      </c>
      <c r="AC125" s="118" t="str">
        <f t="shared" si="38"/>
        <v>Yes</v>
      </c>
      <c r="AD125" s="938">
        <f t="shared" si="39"/>
        <v>0.77187559119188376</v>
      </c>
      <c r="AE125" s="579">
        <f t="shared" si="10"/>
        <v>0.36591359792336786</v>
      </c>
      <c r="AF125" s="475">
        <f t="shared" si="11"/>
        <v>269.0194841045323</v>
      </c>
      <c r="AG125" s="473">
        <f t="shared" si="40"/>
        <v>2228.8062963921584</v>
      </c>
      <c r="AH125" s="474">
        <f t="shared" si="80"/>
        <v>10273.133495277429</v>
      </c>
      <c r="AI125" s="474">
        <f t="shared" si="81"/>
        <v>6437.6604656145792</v>
      </c>
      <c r="AJ125" s="474">
        <f t="shared" si="12"/>
        <v>865.49202764570771</v>
      </c>
      <c r="AK125" s="474">
        <f t="shared" si="41"/>
        <v>19805.092284929877</v>
      </c>
      <c r="AL125" s="640">
        <f t="shared" si="13"/>
        <v>0</v>
      </c>
      <c r="AM125" s="100">
        <f t="shared" si="42"/>
        <v>0.11253703160414483</v>
      </c>
      <c r="AN125" s="100">
        <f t="shared" si="43"/>
        <v>0.51871172057574699</v>
      </c>
      <c r="AO125" s="100">
        <f t="shared" si="44"/>
        <v>0.32505076840834185</v>
      </c>
      <c r="AP125" s="100">
        <f t="shared" si="45"/>
        <v>4.3700479411766198E-2</v>
      </c>
      <c r="AQ125" s="100">
        <f t="shared" si="46"/>
        <v>0.99999999999999989</v>
      </c>
      <c r="AR125" s="473">
        <f t="shared" si="14"/>
        <v>489.65598954179325</v>
      </c>
      <c r="AS125" s="474">
        <f t="shared" si="15"/>
        <v>621.01626461250521</v>
      </c>
      <c r="AT125" s="474">
        <f t="shared" si="16"/>
        <v>119.06435863316699</v>
      </c>
      <c r="AU125" s="474">
        <f t="shared" si="17"/>
        <v>0</v>
      </c>
      <c r="AV125" s="474">
        <f t="shared" si="18"/>
        <v>0</v>
      </c>
      <c r="AW125" s="474">
        <f t="shared" si="19"/>
        <v>0</v>
      </c>
      <c r="AX125" s="474">
        <f t="shared" si="20"/>
        <v>831.50574373155371</v>
      </c>
      <c r="AY125" s="474">
        <f t="shared" si="21"/>
        <v>66.977338319046126</v>
      </c>
      <c r="AZ125" s="474">
        <f t="shared" si="22"/>
        <v>18.827347398244971</v>
      </c>
      <c r="BA125" s="474">
        <f t="shared" si="23"/>
        <v>48.627371035360618</v>
      </c>
      <c r="BB125" s="474">
        <f t="shared" si="24"/>
        <v>33.131883120487025</v>
      </c>
      <c r="BC125" s="475">
        <f t="shared" si="47"/>
        <v>2228.8062963921584</v>
      </c>
      <c r="BD125" s="647">
        <f t="shared" si="48"/>
        <v>0</v>
      </c>
      <c r="BE125" s="383">
        <f t="shared" si="49"/>
        <v>0.21969427775505454</v>
      </c>
      <c r="BF125" s="383">
        <f t="shared" si="50"/>
        <v>0.27863177953946222</v>
      </c>
      <c r="BG125" s="383">
        <f t="shared" si="51"/>
        <v>5.3420684797014596E-2</v>
      </c>
      <c r="BH125" s="383">
        <f t="shared" si="52"/>
        <v>0</v>
      </c>
      <c r="BI125" s="383">
        <f t="shared" si="53"/>
        <v>0</v>
      </c>
      <c r="BJ125" s="383">
        <f t="shared" si="54"/>
        <v>0</v>
      </c>
      <c r="BK125" s="383">
        <f t="shared" si="55"/>
        <v>0.44825325790846843</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83.34235916703048</v>
      </c>
      <c r="BW125" s="100">
        <f t="shared" si="59"/>
        <v>0.80901970948511648</v>
      </c>
      <c r="BX125" s="1385">
        <f t="shared" si="25"/>
        <v>20.219203672592339</v>
      </c>
      <c r="BY125" s="473">
        <f t="shared" si="60"/>
        <v>83.34235916703048</v>
      </c>
      <c r="BZ125" s="100">
        <f t="shared" si="61"/>
        <v>0.80901970948511648</v>
      </c>
      <c r="CA125" s="489">
        <f t="shared" si="26"/>
        <v>20.219203672592339</v>
      </c>
      <c r="CB125" s="579">
        <f t="shared" si="27"/>
        <v>0.36591359792336786</v>
      </c>
      <c r="CC125" s="471">
        <f t="shared" si="62"/>
        <v>0.45434689297828268</v>
      </c>
      <c r="CD125" s="100">
        <f t="shared" si="28"/>
        <v>0.36591359792336786</v>
      </c>
      <c r="CE125" s="471">
        <f t="shared" si="63"/>
        <v>0.45434689297828268</v>
      </c>
      <c r="CG125" s="473">
        <f t="shared" si="64"/>
        <v>1950.8692270378426</v>
      </c>
      <c r="CH125" s="474">
        <f t="shared" si="65"/>
        <v>859.06360218176451</v>
      </c>
      <c r="CI125" s="474">
        <f t="shared" si="66"/>
        <v>3271.7403223642282</v>
      </c>
      <c r="CJ125" s="474">
        <f t="shared" si="67"/>
        <v>4141.6120267845772</v>
      </c>
      <c r="CK125" s="474">
        <f t="shared" si="68"/>
        <v>49.848316909016496</v>
      </c>
      <c r="CL125" s="474">
        <f t="shared" si="69"/>
        <v>10273.133495277429</v>
      </c>
      <c r="CM125" s="576">
        <f t="shared" si="70"/>
        <v>0</v>
      </c>
    </row>
    <row r="126" spans="1:91">
      <c r="A126" s="89">
        <f>'Input data'!A146</f>
        <v>2046</v>
      </c>
      <c r="B126" s="152">
        <f>'Input data'!B146</f>
        <v>73.995362001779526</v>
      </c>
      <c r="C126" s="204">
        <f>'Input data'!C146</f>
        <v>8212.8506709212088</v>
      </c>
      <c r="D126" s="204">
        <f>'Input data'!D146</f>
        <v>16217597.669678843</v>
      </c>
      <c r="E126" s="579">
        <f t="shared" si="88"/>
        <v>1</v>
      </c>
      <c r="F126" s="100">
        <f t="shared" si="89"/>
        <v>0.36725000000000002</v>
      </c>
      <c r="G126" s="475">
        <f>B126*F126*'Input data'!$C$9</f>
        <v>831.74146020203671</v>
      </c>
      <c r="H126" s="301">
        <f>'Input data'!I146</f>
        <v>424.26313389388866</v>
      </c>
      <c r="I126" s="474">
        <f>'Input data'!K146</f>
        <v>31393.50417648775</v>
      </c>
      <c r="J126" s="474">
        <f t="shared" si="91"/>
        <v>2228.8062963921584</v>
      </c>
      <c r="K126" s="475">
        <f t="shared" si="73"/>
        <v>12360.334245248529</v>
      </c>
      <c r="L126" s="100">
        <f t="shared" si="90"/>
        <v>0.7</v>
      </c>
      <c r="M126" s="100">
        <f t="shared" si="87"/>
        <v>0.6</v>
      </c>
      <c r="N126" s="100">
        <f t="shared" si="87"/>
        <v>0.9</v>
      </c>
      <c r="O126" s="100">
        <f t="shared" si="87"/>
        <v>0.9</v>
      </c>
      <c r="P126" s="100">
        <f t="shared" si="87"/>
        <v>0.23600000000000002</v>
      </c>
      <c r="Q126" s="473">
        <f t="shared" si="31"/>
        <v>336.14196038830005</v>
      </c>
      <c r="R126" s="474">
        <f t="shared" si="32"/>
        <v>234.57030742978588</v>
      </c>
      <c r="S126" s="474">
        <f t="shared" si="33"/>
        <v>686.91900248402408</v>
      </c>
      <c r="T126" s="474">
        <f t="shared" si="34"/>
        <v>462.52825482703656</v>
      </c>
      <c r="U126" s="475">
        <f t="shared" si="35"/>
        <v>0</v>
      </c>
      <c r="V126" s="474">
        <f t="shared" si="9"/>
        <v>1720.1595251291465</v>
      </c>
      <c r="W126" s="579">
        <f t="shared" si="86"/>
        <v>0.5</v>
      </c>
      <c r="X126" s="475">
        <f t="shared" si="36"/>
        <v>3033.4854703020706</v>
      </c>
      <c r="Y126" s="474">
        <f t="shared" si="77"/>
        <v>4753.6449954312175</v>
      </c>
      <c r="Z126" s="474">
        <f t="shared" si="78"/>
        <v>9835.4955462094695</v>
      </c>
      <c r="AA126" s="475">
        <f t="shared" si="79"/>
        <v>7606.6892498173111</v>
      </c>
      <c r="AB126" s="938">
        <f t="shared" si="37"/>
        <v>0.77339156060610237</v>
      </c>
      <c r="AC126" s="118" t="str">
        <f t="shared" si="38"/>
        <v>Yes</v>
      </c>
      <c r="AD126" s="938">
        <f t="shared" si="39"/>
        <v>0.77339156060610237</v>
      </c>
      <c r="AE126" s="579">
        <f t="shared" si="10"/>
        <v>0.36750697834425616</v>
      </c>
      <c r="AF126" s="475">
        <f t="shared" si="11"/>
        <v>268.34347153368111</v>
      </c>
      <c r="AG126" s="473">
        <f t="shared" si="40"/>
        <v>2228.8062963921584</v>
      </c>
      <c r="AH126" s="474">
        <f t="shared" si="80"/>
        <v>10325.57619787088</v>
      </c>
      <c r="AI126" s="474">
        <f t="shared" si="81"/>
        <v>6437.6604656145792</v>
      </c>
      <c r="AJ126" s="474">
        <f t="shared" si="12"/>
        <v>864.12935707133613</v>
      </c>
      <c r="AK126" s="474">
        <f t="shared" si="41"/>
        <v>19856.172316948952</v>
      </c>
      <c r="AL126" s="640">
        <f t="shared" si="13"/>
        <v>0</v>
      </c>
      <c r="AM126" s="100">
        <f t="shared" si="42"/>
        <v>0.11224752992749164</v>
      </c>
      <c r="AN126" s="100">
        <f t="shared" si="43"/>
        <v>0.52001846242324923</v>
      </c>
      <c r="AO126" s="100">
        <f t="shared" si="44"/>
        <v>0.32421457483623273</v>
      </c>
      <c r="AP126" s="100">
        <f t="shared" si="45"/>
        <v>4.3519432813026476E-2</v>
      </c>
      <c r="AQ126" s="100">
        <f t="shared" si="46"/>
        <v>1</v>
      </c>
      <c r="AR126" s="473">
        <f t="shared" si="14"/>
        <v>490.43210587728646</v>
      </c>
      <c r="AS126" s="474">
        <f t="shared" si="15"/>
        <v>622.00059009379629</v>
      </c>
      <c r="AT126" s="474">
        <f t="shared" si="16"/>
        <v>118.87689821437245</v>
      </c>
      <c r="AU126" s="474">
        <f t="shared" si="17"/>
        <v>0</v>
      </c>
      <c r="AV126" s="474">
        <f t="shared" si="18"/>
        <v>0</v>
      </c>
      <c r="AW126" s="474">
        <f t="shared" si="19"/>
        <v>0</v>
      </c>
      <c r="AX126" s="474">
        <f t="shared" si="20"/>
        <v>830.19658273039909</v>
      </c>
      <c r="AY126" s="474">
        <f t="shared" si="21"/>
        <v>66.871886107862451</v>
      </c>
      <c r="AZ126" s="474">
        <f t="shared" si="22"/>
        <v>18.797704753976223</v>
      </c>
      <c r="BA126" s="474">
        <f t="shared" si="23"/>
        <v>48.550809859171196</v>
      </c>
      <c r="BB126" s="474">
        <f t="shared" si="24"/>
        <v>33.079718755293953</v>
      </c>
      <c r="BC126" s="475">
        <f t="shared" si="47"/>
        <v>2228.8062963921579</v>
      </c>
      <c r="BD126" s="647">
        <f t="shared" si="48"/>
        <v>0</v>
      </c>
      <c r="BE126" s="383">
        <f t="shared" si="49"/>
        <v>0.22004249838631784</v>
      </c>
      <c r="BF126" s="383">
        <f t="shared" si="50"/>
        <v>0.27907341750633474</v>
      </c>
      <c r="BG126" s="383">
        <f t="shared" si="51"/>
        <v>5.3336576806518536E-2</v>
      </c>
      <c r="BH126" s="383">
        <f t="shared" si="52"/>
        <v>0</v>
      </c>
      <c r="BI126" s="383">
        <f t="shared" si="53"/>
        <v>0</v>
      </c>
      <c r="BJ126" s="383">
        <f t="shared" si="54"/>
        <v>0</v>
      </c>
      <c r="BK126" s="383">
        <f t="shared" si="55"/>
        <v>0.44754750730082893</v>
      </c>
      <c r="BL126" s="383">
        <f t="shared" si="56"/>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82.89483956401763</v>
      </c>
      <c r="BW126" s="100">
        <f t="shared" si="59"/>
        <v>0.80798867517412687</v>
      </c>
      <c r="BX126" s="1385">
        <f t="shared" si="25"/>
        <v>16.217597669678842</v>
      </c>
      <c r="BY126" s="473">
        <f t="shared" si="60"/>
        <v>82.89483956401763</v>
      </c>
      <c r="BZ126" s="100">
        <f t="shared" si="61"/>
        <v>0.80798867517412687</v>
      </c>
      <c r="CA126" s="489">
        <f t="shared" si="26"/>
        <v>16.217597669678842</v>
      </c>
      <c r="CB126" s="579">
        <f t="shared" si="27"/>
        <v>0.36750697834425616</v>
      </c>
      <c r="CC126" s="471">
        <f t="shared" si="62"/>
        <v>0.45196529108273187</v>
      </c>
      <c r="CD126" s="100">
        <f t="shared" si="28"/>
        <v>0.36750697834425616</v>
      </c>
      <c r="CE126" s="471">
        <f t="shared" si="63"/>
        <v>0.45196529108273187</v>
      </c>
      <c r="CG126" s="473">
        <f t="shared" si="64"/>
        <v>1960.828102265084</v>
      </c>
      <c r="CH126" s="474">
        <f t="shared" si="65"/>
        <v>863.44898440412021</v>
      </c>
      <c r="CI126" s="474">
        <f t="shared" si="66"/>
        <v>3288.4420331682022</v>
      </c>
      <c r="CJ126" s="474">
        <f t="shared" si="67"/>
        <v>4162.7542934433304</v>
      </c>
      <c r="CK126" s="474">
        <f t="shared" si="68"/>
        <v>50.10278459014274</v>
      </c>
      <c r="CL126" s="474">
        <f t="shared" si="69"/>
        <v>10325.57619787088</v>
      </c>
      <c r="CM126" s="576">
        <f t="shared" si="70"/>
        <v>0</v>
      </c>
    </row>
    <row r="127" spans="1:91" s="1" customFormat="1">
      <c r="A127" s="89">
        <f>'Input data'!A147</f>
        <v>2047</v>
      </c>
      <c r="B127" s="152">
        <f>'Input data'!B147</f>
        <v>74.373096484110363</v>
      </c>
      <c r="C127" s="204">
        <f>'Input data'!C147</f>
        <v>8261.0803168727289</v>
      </c>
      <c r="D127" s="204">
        <f>'Input data'!D147</f>
        <v>12215991.666765345</v>
      </c>
      <c r="E127" s="579">
        <f t="shared" si="88"/>
        <v>1</v>
      </c>
      <c r="F127" s="100">
        <f t="shared" si="89"/>
        <v>0.36725000000000002</v>
      </c>
      <c r="G127" s="475">
        <f>B127*F127*'Input data'!$C$9</f>
        <v>835.98736726165691</v>
      </c>
      <c r="H127" s="301">
        <f>'Input data'!I147</f>
        <v>424.26313389388866</v>
      </c>
      <c r="I127" s="474">
        <f>'Input data'!K147</f>
        <v>31553.762991741216</v>
      </c>
      <c r="J127" s="474">
        <f t="shared" si="91"/>
        <v>2228.8062963921584</v>
      </c>
      <c r="K127" s="475">
        <f t="shared" si="73"/>
        <v>12434.809473169109</v>
      </c>
      <c r="L127" s="100">
        <f t="shared" si="90"/>
        <v>0.7</v>
      </c>
      <c r="M127" s="100">
        <f t="shared" si="90"/>
        <v>0.6</v>
      </c>
      <c r="N127" s="100">
        <f t="shared" si="90"/>
        <v>0.9</v>
      </c>
      <c r="O127" s="100">
        <f t="shared" si="90"/>
        <v>0.9</v>
      </c>
      <c r="P127" s="100">
        <f t="shared" si="90"/>
        <v>0.23600000000000002</v>
      </c>
      <c r="Q127" s="473">
        <f t="shared" si="31"/>
        <v>337.8579113068713</v>
      </c>
      <c r="R127" s="474">
        <f t="shared" si="32"/>
        <v>235.76775131343163</v>
      </c>
      <c r="S127" s="474">
        <f t="shared" si="33"/>
        <v>690.42561407138692</v>
      </c>
      <c r="T127" s="474">
        <f t="shared" si="34"/>
        <v>464.88938755446634</v>
      </c>
      <c r="U127" s="475">
        <f t="shared" si="35"/>
        <v>0</v>
      </c>
      <c r="V127" s="474">
        <f t="shared" si="9"/>
        <v>1728.9406642461563</v>
      </c>
      <c r="W127" s="579">
        <f t="shared" si="86"/>
        <v>0.5</v>
      </c>
      <c r="X127" s="475">
        <f t="shared" si="36"/>
        <v>3033.4854703020706</v>
      </c>
      <c r="Y127" s="474">
        <f t="shared" si="77"/>
        <v>4762.4261345482264</v>
      </c>
      <c r="Z127" s="474">
        <f t="shared" si="78"/>
        <v>9901.189635013041</v>
      </c>
      <c r="AA127" s="475">
        <f t="shared" si="79"/>
        <v>7672.3833386208826</v>
      </c>
      <c r="AB127" s="938">
        <f t="shared" si="37"/>
        <v>0.7748951006341146</v>
      </c>
      <c r="AC127" s="118" t="str">
        <f t="shared" si="38"/>
        <v>Yes</v>
      </c>
      <c r="AD127" s="938">
        <f t="shared" si="39"/>
        <v>0.7748951006341146</v>
      </c>
      <c r="AE127" s="579">
        <f t="shared" si="10"/>
        <v>0.36909169159072286</v>
      </c>
      <c r="AF127" s="475">
        <f t="shared" si="11"/>
        <v>267.67113612541198</v>
      </c>
      <c r="AG127" s="473">
        <f t="shared" si="40"/>
        <v>2228.8062963921584</v>
      </c>
      <c r="AH127" s="474">
        <f t="shared" si="80"/>
        <v>10378.286612069227</v>
      </c>
      <c r="AI127" s="474">
        <f t="shared" si="81"/>
        <v>6437.6604656145792</v>
      </c>
      <c r="AJ127" s="474">
        <f t="shared" si="12"/>
        <v>862.77785899073763</v>
      </c>
      <c r="AK127" s="474">
        <f t="shared" si="41"/>
        <v>19907.531233066704</v>
      </c>
      <c r="AL127" s="640">
        <f t="shared" si="13"/>
        <v>0</v>
      </c>
      <c r="AM127" s="100">
        <f t="shared" si="42"/>
        <v>0.11195794547794445</v>
      </c>
      <c r="AN127" s="100">
        <f t="shared" si="43"/>
        <v>0.52132464294873182</v>
      </c>
      <c r="AO127" s="100">
        <f t="shared" si="44"/>
        <v>0.32337814218377464</v>
      </c>
      <c r="AP127" s="100">
        <f t="shared" si="45"/>
        <v>4.3339269389548955E-2</v>
      </c>
      <c r="AQ127" s="100">
        <f t="shared" si="46"/>
        <v>0.99999999999999978</v>
      </c>
      <c r="AR127" s="473">
        <f t="shared" si="14"/>
        <v>491.20185885901765</v>
      </c>
      <c r="AS127" s="474">
        <f t="shared" si="15"/>
        <v>622.97684512099681</v>
      </c>
      <c r="AT127" s="474">
        <f t="shared" si="16"/>
        <v>118.69097477773697</v>
      </c>
      <c r="AU127" s="474">
        <f t="shared" si="17"/>
        <v>0</v>
      </c>
      <c r="AV127" s="474">
        <f t="shared" si="18"/>
        <v>0</v>
      </c>
      <c r="AW127" s="474">
        <f t="shared" si="19"/>
        <v>0</v>
      </c>
      <c r="AX127" s="474">
        <f t="shared" si="20"/>
        <v>828.8981554996866</v>
      </c>
      <c r="AY127" s="474">
        <f t="shared" si="21"/>
        <v>66.767298496087406</v>
      </c>
      <c r="AZ127" s="474">
        <f t="shared" si="22"/>
        <v>18.768305148828162</v>
      </c>
      <c r="BA127" s="474">
        <f t="shared" si="23"/>
        <v>48.474876405691035</v>
      </c>
      <c r="BB127" s="474">
        <f t="shared" si="24"/>
        <v>33.027982084113098</v>
      </c>
      <c r="BC127" s="475">
        <f t="shared" si="47"/>
        <v>2228.8062963921579</v>
      </c>
      <c r="BD127" s="647">
        <f t="shared" si="48"/>
        <v>0</v>
      </c>
      <c r="BE127" s="383">
        <f t="shared" si="49"/>
        <v>0.22038786396742607</v>
      </c>
      <c r="BF127" s="383">
        <f t="shared" si="50"/>
        <v>0.27951143449721488</v>
      </c>
      <c r="BG127" s="383">
        <f t="shared" si="51"/>
        <v>5.3253158414827681E-2</v>
      </c>
      <c r="BH127" s="383">
        <f t="shared" si="52"/>
        <v>0</v>
      </c>
      <c r="BI127" s="383">
        <f t="shared" si="53"/>
        <v>0</v>
      </c>
      <c r="BJ127" s="383">
        <f t="shared" si="54"/>
        <v>0</v>
      </c>
      <c r="BK127" s="383">
        <f t="shared" si="55"/>
        <v>0.44684754312053121</v>
      </c>
      <c r="BL127" s="383">
        <f t="shared" si="56"/>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81.59285580658279</v>
      </c>
      <c r="BW127" s="100">
        <f t="shared" si="59"/>
        <v>0.80492473503260931</v>
      </c>
      <c r="BX127" s="1385">
        <f t="shared" si="25"/>
        <v>12.215991666765346</v>
      </c>
      <c r="BY127" s="473">
        <f t="shared" si="60"/>
        <v>81.59285580658279</v>
      </c>
      <c r="BZ127" s="100">
        <f t="shared" si="61"/>
        <v>0.80492473503260931</v>
      </c>
      <c r="CA127" s="489">
        <f t="shared" si="26"/>
        <v>12.215991666765346</v>
      </c>
      <c r="CB127" s="579">
        <f t="shared" si="27"/>
        <v>0.36909169159072286</v>
      </c>
      <c r="CC127" s="471">
        <f t="shared" si="62"/>
        <v>0.44729098891106789</v>
      </c>
      <c r="CD127" s="100">
        <f t="shared" si="28"/>
        <v>0.36909169159072286</v>
      </c>
      <c r="CE127" s="471">
        <f t="shared" si="63"/>
        <v>0.44729098891106789</v>
      </c>
      <c r="CG127" s="473">
        <f t="shared" si="64"/>
        <v>1970.8378159567483</v>
      </c>
      <c r="CH127" s="474">
        <f t="shared" si="65"/>
        <v>867.85675330097536</v>
      </c>
      <c r="CI127" s="474">
        <f t="shared" si="66"/>
        <v>3305.2290035332353</v>
      </c>
      <c r="CJ127" s="474">
        <f t="shared" si="67"/>
        <v>4184.0044879902052</v>
      </c>
      <c r="CK127" s="474">
        <f t="shared" si="68"/>
        <v>50.358551288061392</v>
      </c>
      <c r="CL127" s="474">
        <f t="shared" si="69"/>
        <v>10378.286612069225</v>
      </c>
      <c r="CM127" s="576">
        <f t="shared" si="70"/>
        <v>0</v>
      </c>
    </row>
    <row r="128" spans="1:91">
      <c r="A128" s="89">
        <f>'Input data'!A148</f>
        <v>2048</v>
      </c>
      <c r="B128" s="152">
        <f>'Input data'!B148</f>
        <v>74.752759240528661</v>
      </c>
      <c r="C128" s="204">
        <f>'Input data'!C148</f>
        <v>8289.8997424694644</v>
      </c>
      <c r="D128" s="204">
        <f>'Input data'!D148</f>
        <v>8214385.6638518488</v>
      </c>
      <c r="E128" s="579">
        <f t="shared" si="88"/>
        <v>1</v>
      </c>
      <c r="F128" s="100">
        <f t="shared" si="89"/>
        <v>0.36725000000000002</v>
      </c>
      <c r="G128" s="475">
        <f>B128*F128*'Input data'!$C$9</f>
        <v>840.25494899738908</v>
      </c>
      <c r="H128" s="301">
        <f>'Input data'!I148</f>
        <v>424.26313389388866</v>
      </c>
      <c r="I128" s="474">
        <f>'Input data'!K148</f>
        <v>31714.839902602034</v>
      </c>
      <c r="J128" s="474">
        <f t="shared" si="91"/>
        <v>2228.8062963921584</v>
      </c>
      <c r="K128" s="475">
        <f t="shared" si="73"/>
        <v>12509.664885210746</v>
      </c>
      <c r="L128" s="100">
        <f t="shared" ref="L128:P130" si="93">L127</f>
        <v>0.7</v>
      </c>
      <c r="M128" s="100">
        <f t="shared" si="93"/>
        <v>0.6</v>
      </c>
      <c r="N128" s="100">
        <f t="shared" si="93"/>
        <v>0.9</v>
      </c>
      <c r="O128" s="100">
        <f t="shared" si="93"/>
        <v>0.9</v>
      </c>
      <c r="P128" s="100">
        <f t="shared" si="93"/>
        <v>0.23600000000000002</v>
      </c>
      <c r="Q128" s="473">
        <f t="shared" si="31"/>
        <v>339.58262188029607</v>
      </c>
      <c r="R128" s="474">
        <f t="shared" si="32"/>
        <v>236.971307956489</v>
      </c>
      <c r="S128" s="474">
        <f t="shared" si="33"/>
        <v>693.95012634977684</v>
      </c>
      <c r="T128" s="474">
        <f t="shared" si="34"/>
        <v>467.26257348664376</v>
      </c>
      <c r="U128" s="475">
        <f t="shared" si="35"/>
        <v>0</v>
      </c>
      <c r="V128" s="474">
        <f t="shared" si="9"/>
        <v>1737.7666296732057</v>
      </c>
      <c r="W128" s="579">
        <f t="shared" si="86"/>
        <v>0.5</v>
      </c>
      <c r="X128" s="475">
        <f t="shared" si="36"/>
        <v>3033.4854703020706</v>
      </c>
      <c r="Y128" s="474">
        <f t="shared" si="77"/>
        <v>4771.252099975276</v>
      </c>
      <c r="Z128" s="474">
        <f t="shared" si="78"/>
        <v>9967.2190816276288</v>
      </c>
      <c r="AA128" s="475">
        <f t="shared" si="79"/>
        <v>7738.4127852354704</v>
      </c>
      <c r="AB128" s="938">
        <f t="shared" si="37"/>
        <v>0.77638634426121211</v>
      </c>
      <c r="AC128" s="118" t="str">
        <f t="shared" si="38"/>
        <v>Yes</v>
      </c>
      <c r="AD128" s="938">
        <f t="shared" si="39"/>
        <v>0.77638634426121211</v>
      </c>
      <c r="AE128" s="579">
        <f t="shared" si="10"/>
        <v>0.3706677901680655</v>
      </c>
      <c r="AF128" s="475">
        <f t="shared" si="11"/>
        <v>267.00245560366284</v>
      </c>
      <c r="AG128" s="473">
        <f t="shared" si="40"/>
        <v>2228.8062963921584</v>
      </c>
      <c r="AH128" s="474">
        <f t="shared" si="80"/>
        <v>10431.266104497367</v>
      </c>
      <c r="AI128" s="474">
        <f t="shared" si="81"/>
        <v>6437.6604656145792</v>
      </c>
      <c r="AJ128" s="474">
        <f t="shared" si="12"/>
        <v>861.43741386644547</v>
      </c>
      <c r="AK128" s="474">
        <f t="shared" si="41"/>
        <v>19959.170280370552</v>
      </c>
      <c r="AL128" s="640">
        <f t="shared" si="13"/>
        <v>0</v>
      </c>
      <c r="AM128" s="100">
        <f t="shared" si="42"/>
        <v>0.11166828405608349</v>
      </c>
      <c r="AN128" s="100">
        <f t="shared" si="43"/>
        <v>0.52263024754873255</v>
      </c>
      <c r="AO128" s="100">
        <f t="shared" si="44"/>
        <v>0.32254148720530185</v>
      </c>
      <c r="AP128" s="100">
        <f t="shared" si="45"/>
        <v>4.3159981189882027E-2</v>
      </c>
      <c r="AQ128" s="100">
        <f t="shared" si="46"/>
        <v>1</v>
      </c>
      <c r="AR128" s="473">
        <f t="shared" si="14"/>
        <v>491.96531657019244</v>
      </c>
      <c r="AS128" s="474">
        <f t="shared" si="15"/>
        <v>623.94511604203069</v>
      </c>
      <c r="AT128" s="474">
        <f t="shared" si="16"/>
        <v>118.5065718786821</v>
      </c>
      <c r="AU128" s="474">
        <f t="shared" si="17"/>
        <v>0</v>
      </c>
      <c r="AV128" s="474">
        <f t="shared" si="18"/>
        <v>0</v>
      </c>
      <c r="AW128" s="474">
        <f t="shared" si="19"/>
        <v>0</v>
      </c>
      <c r="AX128" s="474">
        <f t="shared" si="20"/>
        <v>827.61034719596614</v>
      </c>
      <c r="AY128" s="474">
        <f t="shared" si="21"/>
        <v>66.663566233143229</v>
      </c>
      <c r="AZ128" s="474">
        <f t="shared" si="22"/>
        <v>18.739145982461341</v>
      </c>
      <c r="BA128" s="474">
        <f t="shared" si="23"/>
        <v>48.399563958748168</v>
      </c>
      <c r="BB128" s="474">
        <f t="shared" si="24"/>
        <v>32.976668530933082</v>
      </c>
      <c r="BC128" s="475">
        <f t="shared" si="47"/>
        <v>2228.806296392157</v>
      </c>
      <c r="BD128" s="647">
        <f t="shared" si="48"/>
        <v>0</v>
      </c>
      <c r="BE128" s="383">
        <f t="shared" si="49"/>
        <v>0.22073040504531644</v>
      </c>
      <c r="BF128" s="383">
        <f t="shared" si="50"/>
        <v>0.27994586925388332</v>
      </c>
      <c r="BG128" s="383">
        <f t="shared" si="51"/>
        <v>5.3170422243742146E-2</v>
      </c>
      <c r="BH128" s="383">
        <f t="shared" si="52"/>
        <v>0</v>
      </c>
      <c r="BI128" s="383">
        <f t="shared" si="53"/>
        <v>0</v>
      </c>
      <c r="BJ128" s="383">
        <f t="shared" si="54"/>
        <v>0</v>
      </c>
      <c r="BK128" s="383">
        <f t="shared" si="55"/>
        <v>0.44615330345705817</v>
      </c>
      <c r="BL128" s="383">
        <f t="shared" si="56"/>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80.191625382823077</v>
      </c>
      <c r="BW128" s="100">
        <f t="shared" si="59"/>
        <v>0.80151608238477512</v>
      </c>
      <c r="BX128" s="1385">
        <f t="shared" si="25"/>
        <v>8.2143856638518482</v>
      </c>
      <c r="BY128" s="473">
        <f t="shared" si="60"/>
        <v>80.191625382823077</v>
      </c>
      <c r="BZ128" s="100">
        <f t="shared" si="61"/>
        <v>0.80151608238477512</v>
      </c>
      <c r="CA128" s="489">
        <f t="shared" si="26"/>
        <v>8.2143856638518482</v>
      </c>
      <c r="CB128" s="579">
        <f t="shared" si="27"/>
        <v>0.3706677901680655</v>
      </c>
      <c r="CC128" s="471">
        <f t="shared" si="62"/>
        <v>0.44203659562877717</v>
      </c>
      <c r="CD128" s="100">
        <f t="shared" si="28"/>
        <v>0.3706677901680655</v>
      </c>
      <c r="CE128" s="471">
        <f t="shared" si="63"/>
        <v>0.44203659562877717</v>
      </c>
      <c r="CG128" s="473">
        <f t="shared" si="64"/>
        <v>1980.8986276350599</v>
      </c>
      <c r="CH128" s="474">
        <f t="shared" si="65"/>
        <v>872.28702315272039</v>
      </c>
      <c r="CI128" s="474">
        <f t="shared" si="66"/>
        <v>3322.101668695741</v>
      </c>
      <c r="CJ128" s="474">
        <f t="shared" si="67"/>
        <v>4205.3631613797997</v>
      </c>
      <c r="CK128" s="474">
        <f t="shared" si="68"/>
        <v>50.615623634045299</v>
      </c>
      <c r="CL128" s="474">
        <f t="shared" si="69"/>
        <v>10431.266104497367</v>
      </c>
      <c r="CM128" s="576">
        <f t="shared" si="70"/>
        <v>0</v>
      </c>
    </row>
    <row r="129" spans="1:91">
      <c r="A129" s="89">
        <f>'Input data'!A149</f>
        <v>2049</v>
      </c>
      <c r="B129" s="152">
        <f>'Input data'!B149</f>
        <v>75.134360114565098</v>
      </c>
      <c r="C129" s="204">
        <f>'Input data'!C149</f>
        <v>8319.7266636271434</v>
      </c>
      <c r="D129" s="204">
        <f>'Input data'!D149</f>
        <v>4212779.6609383523</v>
      </c>
      <c r="E129" s="579">
        <f t="shared" si="88"/>
        <v>1</v>
      </c>
      <c r="F129" s="100">
        <f t="shared" si="89"/>
        <v>0.36725000000000002</v>
      </c>
      <c r="G129" s="475">
        <f>B129*F129*'Input data'!$C$9</f>
        <v>844.54431605498667</v>
      </c>
      <c r="H129" s="301">
        <f>'Input data'!I149</f>
        <v>424.26313389388866</v>
      </c>
      <c r="I129" s="474">
        <f>'Input data'!K149</f>
        <v>31876.739085317382</v>
      </c>
      <c r="J129" s="474">
        <f t="shared" si="91"/>
        <v>2228.8062963921584</v>
      </c>
      <c r="K129" s="475">
        <f t="shared" si="73"/>
        <v>12584.902422152543</v>
      </c>
      <c r="L129" s="100">
        <f t="shared" si="93"/>
        <v>0.7</v>
      </c>
      <c r="M129" s="100">
        <f t="shared" si="93"/>
        <v>0.6</v>
      </c>
      <c r="N129" s="100">
        <f t="shared" si="93"/>
        <v>0.9</v>
      </c>
      <c r="O129" s="100">
        <f t="shared" si="93"/>
        <v>0.9</v>
      </c>
      <c r="P129" s="100">
        <f t="shared" si="93"/>
        <v>0.23600000000000002</v>
      </c>
      <c r="Q129" s="473">
        <f t="shared" si="31"/>
        <v>341.31613682521129</v>
      </c>
      <c r="R129" s="474">
        <f t="shared" si="32"/>
        <v>238.18100856361684</v>
      </c>
      <c r="S129" s="474">
        <f t="shared" si="33"/>
        <v>697.49263069935841</v>
      </c>
      <c r="T129" s="474">
        <f t="shared" si="34"/>
        <v>469.64787415324872</v>
      </c>
      <c r="U129" s="475">
        <f t="shared" si="35"/>
        <v>0</v>
      </c>
      <c r="V129" s="474">
        <f t="shared" si="9"/>
        <v>1746.6376502414353</v>
      </c>
      <c r="W129" s="579">
        <f t="shared" si="86"/>
        <v>0.5</v>
      </c>
      <c r="X129" s="475">
        <f t="shared" si="36"/>
        <v>3033.4854703020706</v>
      </c>
      <c r="Y129" s="474">
        <f t="shared" si="77"/>
        <v>4780.123120543506</v>
      </c>
      <c r="Z129" s="474">
        <f t="shared" si="78"/>
        <v>10033.585598001195</v>
      </c>
      <c r="AA129" s="475">
        <f t="shared" si="79"/>
        <v>7804.7793016090363</v>
      </c>
      <c r="AB129" s="938">
        <f t="shared" si="37"/>
        <v>0.77786542262258052</v>
      </c>
      <c r="AC129" s="118" t="str">
        <f t="shared" si="38"/>
        <v>Yes</v>
      </c>
      <c r="AD129" s="938">
        <f t="shared" si="39"/>
        <v>0.77786542262258052</v>
      </c>
      <c r="AE129" s="579">
        <f t="shared" si="10"/>
        <v>0.37223532617222466</v>
      </c>
      <c r="AF129" s="475">
        <f t="shared" si="11"/>
        <v>266.33740786604682</v>
      </c>
      <c r="AG129" s="473">
        <f t="shared" si="40"/>
        <v>2228.8062963921584</v>
      </c>
      <c r="AH129" s="474">
        <f t="shared" si="80"/>
        <v>10484.516048756612</v>
      </c>
      <c r="AI129" s="474">
        <f t="shared" si="81"/>
        <v>6437.6604656145792</v>
      </c>
      <c r="AJ129" s="474">
        <f t="shared" si="12"/>
        <v>860.10790382401149</v>
      </c>
      <c r="AK129" s="474">
        <f t="shared" si="41"/>
        <v>20011.090714587364</v>
      </c>
      <c r="AL129" s="640">
        <f t="shared" si="13"/>
        <v>0</v>
      </c>
      <c r="AM129" s="100">
        <f t="shared" si="42"/>
        <v>0.11137855143335285</v>
      </c>
      <c r="AN129" s="100">
        <f t="shared" si="43"/>
        <v>0.52393526161538895</v>
      </c>
      <c r="AO129" s="100">
        <f t="shared" si="44"/>
        <v>0.3217046265709923</v>
      </c>
      <c r="AP129" s="100">
        <f t="shared" si="45"/>
        <v>4.2981560380265717E-2</v>
      </c>
      <c r="AQ129" s="100">
        <f t="shared" si="46"/>
        <v>0.99999999999999978</v>
      </c>
      <c r="AR129" s="473">
        <f t="shared" si="14"/>
        <v>492.72254614683573</v>
      </c>
      <c r="AS129" s="474">
        <f t="shared" si="15"/>
        <v>624.90548800354009</v>
      </c>
      <c r="AT129" s="474">
        <f t="shared" si="16"/>
        <v>118.32367330140767</v>
      </c>
      <c r="AU129" s="474">
        <f t="shared" si="17"/>
        <v>0</v>
      </c>
      <c r="AV129" s="474">
        <f t="shared" si="18"/>
        <v>0</v>
      </c>
      <c r="AW129" s="474">
        <f t="shared" si="19"/>
        <v>0</v>
      </c>
      <c r="AX129" s="474">
        <f t="shared" si="20"/>
        <v>826.33304457350323</v>
      </c>
      <c r="AY129" s="474">
        <f t="shared" si="21"/>
        <v>66.560680197147207</v>
      </c>
      <c r="AZ129" s="474">
        <f t="shared" si="22"/>
        <v>18.710224690711819</v>
      </c>
      <c r="BA129" s="474">
        <f t="shared" si="23"/>
        <v>48.324865895607729</v>
      </c>
      <c r="BB129" s="474">
        <f t="shared" si="24"/>
        <v>32.925773583404499</v>
      </c>
      <c r="BC129" s="475">
        <f t="shared" si="47"/>
        <v>2228.8062963921579</v>
      </c>
      <c r="BD129" s="647">
        <f t="shared" si="48"/>
        <v>0</v>
      </c>
      <c r="BE129" s="383">
        <f t="shared" si="49"/>
        <v>0.22107015174195349</v>
      </c>
      <c r="BF129" s="383">
        <f t="shared" si="50"/>
        <v>0.28037675997914002</v>
      </c>
      <c r="BG129" s="383">
        <f t="shared" si="51"/>
        <v>5.3088361017708037E-2</v>
      </c>
      <c r="BH129" s="383">
        <f t="shared" si="52"/>
        <v>0</v>
      </c>
      <c r="BI129" s="383">
        <f t="shared" si="53"/>
        <v>0</v>
      </c>
      <c r="BJ129" s="383">
        <f t="shared" si="54"/>
        <v>0</v>
      </c>
      <c r="BK129" s="383">
        <f t="shared" si="55"/>
        <v>0.44546472726119851</v>
      </c>
      <c r="BL129" s="383">
        <f t="shared" si="56"/>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78.79584232579802</v>
      </c>
      <c r="BW129" s="100">
        <f t="shared" si="59"/>
        <v>0.79800015462612761</v>
      </c>
      <c r="BX129" s="1385">
        <f t="shared" si="25"/>
        <v>4.2127796609383523</v>
      </c>
      <c r="BY129" s="473">
        <f t="shared" si="60"/>
        <v>78.79584232579802</v>
      </c>
      <c r="BZ129" s="100">
        <f t="shared" si="61"/>
        <v>0.79800015462612761</v>
      </c>
      <c r="CA129" s="489">
        <f t="shared" si="26"/>
        <v>4.2127796609383523</v>
      </c>
      <c r="CB129" s="579">
        <f t="shared" si="27"/>
        <v>0.37223532617222466</v>
      </c>
      <c r="CC129" s="471">
        <f t="shared" si="62"/>
        <v>0.43642990435828954</v>
      </c>
      <c r="CD129" s="100">
        <f t="shared" si="28"/>
        <v>0.37223532617222466</v>
      </c>
      <c r="CE129" s="471">
        <f t="shared" si="63"/>
        <v>0.43642990435828954</v>
      </c>
      <c r="CG129" s="473">
        <f t="shared" si="64"/>
        <v>1991.0107981470655</v>
      </c>
      <c r="CH129" s="474">
        <f t="shared" si="65"/>
        <v>876.73990882312989</v>
      </c>
      <c r="CI129" s="474">
        <f t="shared" si="66"/>
        <v>3339.0604661139491</v>
      </c>
      <c r="CJ129" s="474">
        <f t="shared" si="67"/>
        <v>4226.830867379248</v>
      </c>
      <c r="CK129" s="474">
        <f t="shared" si="68"/>
        <v>50.874008293218921</v>
      </c>
      <c r="CL129" s="474">
        <f t="shared" si="69"/>
        <v>10484.516048756612</v>
      </c>
      <c r="CM129" s="576">
        <f t="shared" si="70"/>
        <v>0</v>
      </c>
    </row>
    <row r="130" spans="1:91" ht="15" thickBot="1">
      <c r="A130" s="141">
        <f>'Input data'!A150</f>
        <v>2050</v>
      </c>
      <c r="B130" s="593">
        <f>'Input data'!B150</f>
        <v>75.517908999999989</v>
      </c>
      <c r="C130" s="207">
        <f>'Input data'!C150</f>
        <v>8341.54221182129</v>
      </c>
      <c r="D130" s="207">
        <f>'Input data'!D150</f>
        <v>211173.65802485455</v>
      </c>
      <c r="E130" s="580">
        <f t="shared" si="88"/>
        <v>1</v>
      </c>
      <c r="F130" s="581">
        <f t="shared" si="89"/>
        <v>0.36725000000000002</v>
      </c>
      <c r="G130" s="589">
        <f>B130*F130*'Input data'!$C$9</f>
        <v>848.85557964503187</v>
      </c>
      <c r="H130" s="584">
        <f>'Input data'!I150</f>
        <v>424.26313389388866</v>
      </c>
      <c r="I130" s="595">
        <f>'Input data'!K150</f>
        <v>32039.464737453494</v>
      </c>
      <c r="J130" s="595">
        <f t="shared" si="91"/>
        <v>2228.8062963921584</v>
      </c>
      <c r="K130" s="589">
        <f t="shared" si="73"/>
        <v>12660.52403468097</v>
      </c>
      <c r="L130" s="581">
        <f t="shared" si="93"/>
        <v>0.7</v>
      </c>
      <c r="M130" s="581">
        <f t="shared" si="93"/>
        <v>0.6</v>
      </c>
      <c r="N130" s="581">
        <f t="shared" si="93"/>
        <v>0.9</v>
      </c>
      <c r="O130" s="581">
        <f t="shared" si="93"/>
        <v>0.9</v>
      </c>
      <c r="P130" s="581">
        <f t="shared" si="93"/>
        <v>0.23600000000000002</v>
      </c>
      <c r="Q130" s="598">
        <f t="shared" si="31"/>
        <v>343.0585010865243</v>
      </c>
      <c r="R130" s="595">
        <f t="shared" si="32"/>
        <v>239.39688449876871</v>
      </c>
      <c r="S130" s="595">
        <f t="shared" si="33"/>
        <v>701.05321896677469</v>
      </c>
      <c r="T130" s="595">
        <f t="shared" si="34"/>
        <v>472.04535139806285</v>
      </c>
      <c r="U130" s="589">
        <f t="shared" si="35"/>
        <v>0</v>
      </c>
      <c r="V130" s="595">
        <f t="shared" si="9"/>
        <v>1755.5539559501306</v>
      </c>
      <c r="W130" s="580">
        <f t="shared" si="86"/>
        <v>0.5</v>
      </c>
      <c r="X130" s="589">
        <f t="shared" si="36"/>
        <v>3033.4854703020706</v>
      </c>
      <c r="Y130" s="595">
        <f t="shared" si="77"/>
        <v>4789.0394262522013</v>
      </c>
      <c r="Z130" s="595">
        <f t="shared" si="78"/>
        <v>10100.290904820926</v>
      </c>
      <c r="AA130" s="589">
        <f t="shared" si="79"/>
        <v>7871.4846084287674</v>
      </c>
      <c r="AB130" s="941">
        <f t="shared" si="37"/>
        <v>0.77933246503540443</v>
      </c>
      <c r="AC130" s="951" t="str">
        <f t="shared" si="38"/>
        <v>Yes</v>
      </c>
      <c r="AD130" s="941">
        <f t="shared" si="39"/>
        <v>0.77933246503540443</v>
      </c>
      <c r="AE130" s="580">
        <f t="shared" si="10"/>
        <v>0.37379435129462157</v>
      </c>
      <c r="AF130" s="589">
        <f t="shared" si="11"/>
        <v>265.67597098179937</v>
      </c>
      <c r="AG130" s="598">
        <f t="shared" si="40"/>
        <v>2228.8062963921584</v>
      </c>
      <c r="AH130" s="595">
        <f t="shared" si="80"/>
        <v>10538.037825460278</v>
      </c>
      <c r="AI130" s="595">
        <f t="shared" si="81"/>
        <v>6437.6604656145792</v>
      </c>
      <c r="AJ130" s="595">
        <f t="shared" si="12"/>
        <v>858.78921262314645</v>
      </c>
      <c r="AK130" s="595">
        <f t="shared" si="41"/>
        <v>20063.293800090163</v>
      </c>
      <c r="AL130" s="641">
        <f t="shared" si="13"/>
        <v>0</v>
      </c>
      <c r="AM130" s="581">
        <f t="shared" si="42"/>
        <v>0.11108875335226075</v>
      </c>
      <c r="AN130" s="581">
        <f t="shared" si="43"/>
        <v>0.52523967053769216</v>
      </c>
      <c r="AO130" s="581">
        <f t="shared" si="44"/>
        <v>0.32086757686744583</v>
      </c>
      <c r="AP130" s="581">
        <f t="shared" si="45"/>
        <v>4.2803999242601289E-2</v>
      </c>
      <c r="AQ130" s="581">
        <f t="shared" si="46"/>
        <v>1</v>
      </c>
      <c r="AR130" s="598">
        <f t="shared" si="14"/>
        <v>493.47361379422671</v>
      </c>
      <c r="AS130" s="595">
        <f t="shared" si="15"/>
        <v>625.85804497173024</v>
      </c>
      <c r="AT130" s="595">
        <f t="shared" si="16"/>
        <v>118.14226305492249</v>
      </c>
      <c r="AU130" s="595">
        <f t="shared" si="17"/>
        <v>0</v>
      </c>
      <c r="AV130" s="595">
        <f t="shared" si="18"/>
        <v>0</v>
      </c>
      <c r="AW130" s="595">
        <f t="shared" si="19"/>
        <v>0</v>
      </c>
      <c r="AX130" s="595">
        <f t="shared" si="20"/>
        <v>825.06613595655131</v>
      </c>
      <c r="AY130" s="595">
        <f t="shared" si="21"/>
        <v>66.458631392678186</v>
      </c>
      <c r="AZ130" s="595">
        <f t="shared" si="22"/>
        <v>18.681538744964712</v>
      </c>
      <c r="BA130" s="595">
        <f t="shared" si="23"/>
        <v>48.250775685348998</v>
      </c>
      <c r="BB130" s="595">
        <f t="shared" si="24"/>
        <v>32.875292791735141</v>
      </c>
      <c r="BC130" s="589">
        <f t="shared" si="47"/>
        <v>2228.8062963921579</v>
      </c>
      <c r="BD130" s="648">
        <f t="shared" si="48"/>
        <v>0</v>
      </c>
      <c r="BE130" s="607">
        <f t="shared" si="49"/>
        <v>0.22140713376170404</v>
      </c>
      <c r="BF130" s="607">
        <f>AS130/BC130</f>
        <v>0.28080414434615841</v>
      </c>
      <c r="BG130" s="607">
        <f t="shared" si="51"/>
        <v>5.3006967562036801E-2</v>
      </c>
      <c r="BH130" s="607">
        <f t="shared" si="52"/>
        <v>0</v>
      </c>
      <c r="BI130" s="607">
        <f t="shared" si="53"/>
        <v>0</v>
      </c>
      <c r="BJ130" s="607">
        <f t="shared" si="54"/>
        <v>0</v>
      </c>
      <c r="BK130" s="607">
        <f t="shared" si="55"/>
        <v>0.44478175433010064</v>
      </c>
      <c r="BL130" s="607">
        <f t="shared" si="56"/>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77.359263236759531</v>
      </c>
      <c r="BW130" s="581">
        <f t="shared" si="59"/>
        <v>0.79424897161699004</v>
      </c>
      <c r="BX130" s="1386">
        <f t="shared" si="25"/>
        <v>0.21117365802485455</v>
      </c>
      <c r="BY130" s="598">
        <f t="shared" si="60"/>
        <v>77.359263236759531</v>
      </c>
      <c r="BZ130" s="581">
        <f t="shared" si="61"/>
        <v>0.79424897161699004</v>
      </c>
      <c r="CA130" s="602">
        <f t="shared" si="26"/>
        <v>0.21117365802485455</v>
      </c>
      <c r="CB130" s="580">
        <f t="shared" si="27"/>
        <v>0.37379435129462157</v>
      </c>
      <c r="CC130" s="582">
        <f t="shared" si="62"/>
        <v>0.43028001041466668</v>
      </c>
      <c r="CD130" s="581">
        <f t="shared" si="28"/>
        <v>0.37379435129462157</v>
      </c>
      <c r="CE130" s="582">
        <f t="shared" si="63"/>
        <v>0.43028001041466668</v>
      </c>
      <c r="CG130" s="598">
        <f t="shared" si="64"/>
        <v>2001.1745896713924</v>
      </c>
      <c r="CH130" s="595">
        <f t="shared" si="65"/>
        <v>881.21552576233921</v>
      </c>
      <c r="CI130" s="595">
        <f t="shared" si="66"/>
        <v>3356.1058354792422</v>
      </c>
      <c r="CJ130" s="595">
        <f t="shared" si="67"/>
        <v>4248.4081625825747</v>
      </c>
      <c r="CK130" s="595">
        <f t="shared" si="68"/>
        <v>51.13371196473107</v>
      </c>
      <c r="CL130" s="595">
        <f t="shared" si="69"/>
        <v>10538.037825460278</v>
      </c>
      <c r="CM130" s="583">
        <f t="shared" si="70"/>
        <v>0</v>
      </c>
    </row>
    <row r="131" spans="1:91">
      <c r="AM131" s="474"/>
      <c r="AN131" s="301"/>
      <c r="AO131" s="301"/>
      <c r="AP131" s="301"/>
      <c r="AS131" s="100"/>
    </row>
    <row r="132" spans="1:91" ht="23.4">
      <c r="A132" s="610" t="s">
        <v>654</v>
      </c>
      <c r="AM132" s="474"/>
      <c r="AO132" s="301"/>
      <c r="AS132" s="100"/>
    </row>
    <row r="133" spans="1:91" ht="15" thickBot="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51.6" customHeight="1">
      <c r="A135" s="1520"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4436.7667702664276</v>
      </c>
      <c r="D139" s="205">
        <f>'Input data'!D119</f>
        <v>53169997.747000799</v>
      </c>
      <c r="E139" s="473">
        <f>'Input data'!J119*C139</f>
        <v>53378.943448604135</v>
      </c>
      <c r="F139" s="474">
        <f>'Input data'!L119</f>
        <v>106548.94119560494</v>
      </c>
      <c r="G139" s="474">
        <f>G137*0.89</f>
        <v>60911.340429377713</v>
      </c>
      <c r="H139" s="474">
        <f t="shared" ref="H139:H170" si="121">E139*$B$12+I139*$E$80-G139</f>
        <v>19615.381990165086</v>
      </c>
      <c r="I139" s="475">
        <f t="shared" si="96"/>
        <v>53169.997747000802</v>
      </c>
      <c r="J139" s="579">
        <f t="shared" ref="J139:J149" si="122">($J$150-$J$137)/($A$150-$A$137)+J138</f>
        <v>0.11361731727283289</v>
      </c>
      <c r="K139" s="474">
        <f t="shared" ref="K139:K170" si="123">(I139)*J139-(I139)*$J$137</f>
        <v>2768.5393809788216</v>
      </c>
      <c r="L139" s="474">
        <f t="shared" si="97"/>
        <v>0</v>
      </c>
      <c r="M139" s="475">
        <f t="shared" ref="M139:M170" si="124">L139+K139</f>
        <v>2768.5393809788216</v>
      </c>
      <c r="N139" s="579">
        <v>0.1</v>
      </c>
      <c r="O139" s="475">
        <f t="shared" si="98"/>
        <v>150.38340000000005</v>
      </c>
      <c r="P139" s="1234">
        <f>O139+M139</f>
        <v>2918.9227809788217</v>
      </c>
      <c r="Q139" s="467">
        <f t="shared" si="99"/>
        <v>77607.799638563971</v>
      </c>
      <c r="R139" s="467">
        <f t="shared" ref="R139:R170" si="125">Q139-G139</f>
        <v>16696.459209186258</v>
      </c>
      <c r="S139" s="1255">
        <f t="shared" si="100"/>
        <v>0.54780504374984418</v>
      </c>
      <c r="T139" s="118" t="str">
        <f t="shared" si="101"/>
        <v>Yes</v>
      </c>
      <c r="U139" s="1255">
        <f t="shared" si="102"/>
        <v>0.54780504374984418</v>
      </c>
      <c r="V139" s="1268">
        <f t="shared" si="95"/>
        <v>89852.481986418687</v>
      </c>
      <c r="W139" s="1269">
        <f t="shared" si="103"/>
        <v>0.15670225364825097</v>
      </c>
      <c r="X139" s="473">
        <f t="shared" si="104"/>
        <v>60911.340429377713</v>
      </c>
      <c r="Y139" s="474">
        <f t="shared" si="105"/>
        <v>10315.519074327111</v>
      </c>
      <c r="Z139" s="474">
        <f t="shared" si="106"/>
        <v>2562.5510023172546</v>
      </c>
      <c r="AA139" s="474">
        <f t="shared" si="107"/>
        <v>0</v>
      </c>
      <c r="AB139" s="474">
        <f t="shared" si="108"/>
        <v>16063.071480396609</v>
      </c>
      <c r="AC139" s="474">
        <f t="shared" si="109"/>
        <v>89852.481986418687</v>
      </c>
      <c r="AD139" s="1240">
        <f t="shared" si="110"/>
        <v>0</v>
      </c>
      <c r="AE139" s="100">
        <f t="shared" si="111"/>
        <v>0.6779038161526193</v>
      </c>
      <c r="AF139" s="100">
        <f t="shared" si="112"/>
        <v>0.11480505430986664</v>
      </c>
      <c r="AG139" s="100">
        <f t="shared" si="113"/>
        <v>2.8519534971828461E-2</v>
      </c>
      <c r="AH139" s="100">
        <f t="shared" ref="AH139:AH170" si="126">AA139/AC139</f>
        <v>0</v>
      </c>
      <c r="AI139" s="100">
        <f t="shared" si="114"/>
        <v>0.17877159456568559</v>
      </c>
      <c r="AJ139" s="471">
        <f t="shared" si="115"/>
        <v>1</v>
      </c>
      <c r="AK139" s="1250">
        <f t="shared" si="116"/>
        <v>47128.965243584003</v>
      </c>
      <c r="AL139" s="1251">
        <f t="shared" si="117"/>
        <v>12882.581081661943</v>
      </c>
      <c r="AM139" s="1251">
        <f t="shared" si="118"/>
        <v>899.79410413176493</v>
      </c>
      <c r="AN139" s="1251">
        <f t="shared" si="119"/>
        <v>60911.340429377713</v>
      </c>
      <c r="AO139" s="1022">
        <f t="shared" si="120"/>
        <v>0</v>
      </c>
    </row>
    <row r="140" spans="1:91">
      <c r="A140" s="89">
        <f>'Input data'!A120</f>
        <v>2020</v>
      </c>
      <c r="B140" s="152">
        <f>'Input data'!B120</f>
        <v>59.308690000000006</v>
      </c>
      <c r="C140" s="204">
        <f>'Input data'!C120</f>
        <v>4197.6296598339768</v>
      </c>
      <c r="D140" s="205">
        <f>'Input data'!D120</f>
        <v>50963260.465782054</v>
      </c>
      <c r="E140" s="473">
        <f>'Input data'!J120*C140</f>
        <v>50501.873961927049</v>
      </c>
      <c r="F140" s="474">
        <f>'Input data'!L120</f>
        <v>101465.1344277091</v>
      </c>
      <c r="G140" s="474">
        <f>G137*0.81</f>
        <v>55436.163761568481</v>
      </c>
      <c r="H140" s="474">
        <f t="shared" si="121"/>
        <v>21368.758110647708</v>
      </c>
      <c r="I140" s="475">
        <f t="shared" si="96"/>
        <v>50963.260465782056</v>
      </c>
      <c r="J140" s="579">
        <f t="shared" si="122"/>
        <v>0.13965210661166627</v>
      </c>
      <c r="K140" s="474">
        <f>(I140)*J140-(I140)*$J$137</f>
        <v>3980.4532507401927</v>
      </c>
      <c r="L140" s="474">
        <f t="shared" si="97"/>
        <v>0</v>
      </c>
      <c r="M140" s="475">
        <f t="shared" si="124"/>
        <v>3980.4532507401927</v>
      </c>
      <c r="N140" s="579">
        <f>($N$142-$N$137)/($A$102-$A$97)+N139</f>
        <v>0.2</v>
      </c>
      <c r="O140" s="475">
        <f t="shared" si="98"/>
        <v>300.7668000000001</v>
      </c>
      <c r="P140" s="1234">
        <f t="shared" ref="P140:P170" si="127">O140+M140</f>
        <v>4281.2200507401931</v>
      </c>
      <c r="Q140" s="467">
        <f t="shared" si="99"/>
        <v>72523.701821476003</v>
      </c>
      <c r="R140" s="467">
        <f t="shared" si="125"/>
        <v>17087.538059907522</v>
      </c>
      <c r="S140" s="1255">
        <f t="shared" si="100"/>
        <v>0.59585031883972595</v>
      </c>
      <c r="T140" s="118" t="str">
        <f t="shared" si="101"/>
        <v>Yes</v>
      </c>
      <c r="U140" s="1255">
        <f t="shared" si="102"/>
        <v>0.59585031883972595</v>
      </c>
      <c r="V140" s="1268">
        <f t="shared" si="95"/>
        <v>84377.596367801583</v>
      </c>
      <c r="W140" s="1269">
        <f t="shared" si="103"/>
        <v>0.1684079773439997</v>
      </c>
      <c r="X140" s="473">
        <f t="shared" si="104"/>
        <v>55436.163761568474</v>
      </c>
      <c r="Y140" s="474">
        <f t="shared" si="105"/>
        <v>11161.222878141903</v>
      </c>
      <c r="Z140" s="474">
        <f t="shared" si="106"/>
        <v>2582.9210795159115</v>
      </c>
      <c r="AA140" s="474">
        <f t="shared" si="107"/>
        <v>0</v>
      </c>
      <c r="AB140" s="474">
        <f t="shared" si="108"/>
        <v>15197.288648575301</v>
      </c>
      <c r="AC140" s="474">
        <f t="shared" si="109"/>
        <v>84377.596367801583</v>
      </c>
      <c r="AD140" s="1240">
        <f t="shared" si="110"/>
        <v>0</v>
      </c>
      <c r="AE140" s="100">
        <f t="shared" si="111"/>
        <v>0.65700098305624244</v>
      </c>
      <c r="AF140" s="100">
        <f t="shared" si="112"/>
        <v>0.13227708963751683</v>
      </c>
      <c r="AG140" s="100">
        <f t="shared" si="113"/>
        <v>3.0611456010870109E-2</v>
      </c>
      <c r="AH140" s="100">
        <f t="shared" si="126"/>
        <v>0</v>
      </c>
      <c r="AI140" s="100">
        <f t="shared" si="114"/>
        <v>0.18011047129537069</v>
      </c>
      <c r="AJ140" s="471">
        <f t="shared" si="115"/>
        <v>1</v>
      </c>
      <c r="AK140" s="1250">
        <f t="shared" si="116"/>
        <v>43846.133781936544</v>
      </c>
      <c r="AL140" s="1251">
        <f t="shared" si="117"/>
        <v>10893.236471236294</v>
      </c>
      <c r="AM140" s="1251">
        <f t="shared" si="118"/>
        <v>696.79350839563915</v>
      </c>
      <c r="AN140" s="1251">
        <f t="shared" si="119"/>
        <v>55436.163761568474</v>
      </c>
      <c r="AO140" s="1022">
        <f t="shared" si="120"/>
        <v>0</v>
      </c>
    </row>
    <row r="141" spans="1:91">
      <c r="A141" s="89">
        <f>'Input data'!A121</f>
        <v>2021</v>
      </c>
      <c r="B141" s="152">
        <f>'Input data'!B121</f>
        <v>59.991580449204264</v>
      </c>
      <c r="C141" s="204">
        <f>'Input data'!C121</f>
        <v>4326.0661578199733</v>
      </c>
      <c r="D141" s="205">
        <f>'Input data'!D121</f>
        <v>50546075.397081107</v>
      </c>
      <c r="E141" s="473">
        <f>'Input data'!J121*C141</f>
        <v>52047.099329344681</v>
      </c>
      <c r="F141" s="474">
        <f>'Input data'!L121</f>
        <v>102593.17472642579</v>
      </c>
      <c r="G141" s="474">
        <f>G137*0.65</f>
        <v>44485.810425950018</v>
      </c>
      <c r="H141" s="474">
        <f t="shared" si="121"/>
        <v>32814.264492545721</v>
      </c>
      <c r="I141" s="475">
        <f t="shared" si="96"/>
        <v>50546.075397081106</v>
      </c>
      <c r="J141" s="579">
        <f t="shared" si="122"/>
        <v>0.16568689595049965</v>
      </c>
      <c r="K141" s="474">
        <f t="shared" si="123"/>
        <v>5263.8256994711801</v>
      </c>
      <c r="L141" s="474">
        <f t="shared" si="97"/>
        <v>0</v>
      </c>
      <c r="M141" s="475">
        <f t="shared" si="124"/>
        <v>5263.8256994711801</v>
      </c>
      <c r="N141" s="579">
        <v>0.4</v>
      </c>
      <c r="O141" s="475">
        <f t="shared" si="98"/>
        <v>601.53360000000021</v>
      </c>
      <c r="P141" s="1234">
        <f t="shared" si="127"/>
        <v>5865.3592994711798</v>
      </c>
      <c r="Q141" s="467">
        <f t="shared" si="99"/>
        <v>71434.715619024559</v>
      </c>
      <c r="R141" s="467">
        <f t="shared" si="125"/>
        <v>26948.905193074541</v>
      </c>
      <c r="S141" s="1255">
        <f t="shared" si="100"/>
        <v>0.92090623727846399</v>
      </c>
      <c r="T141" s="118" t="str">
        <f t="shared" si="101"/>
        <v>Yes</v>
      </c>
      <c r="U141" s="1255">
        <f t="shared" si="102"/>
        <v>0.92090623727846399</v>
      </c>
      <c r="V141" s="1268">
        <f t="shared" si="95"/>
        <v>75644.269533351253</v>
      </c>
      <c r="W141" s="1269">
        <f t="shared" si="103"/>
        <v>0.2626773687912114</v>
      </c>
      <c r="X141" s="473">
        <f t="shared" si="104"/>
        <v>44485.810425950018</v>
      </c>
      <c r="Y141" s="474">
        <f t="shared" si="105"/>
        <v>12542.657304486011</v>
      </c>
      <c r="Z141" s="474">
        <f t="shared" si="106"/>
        <v>2953.515836548303</v>
      </c>
      <c r="AA141" s="474">
        <f t="shared" si="107"/>
        <v>0</v>
      </c>
      <c r="AB141" s="474">
        <f t="shared" si="108"/>
        <v>15662.285966366921</v>
      </c>
      <c r="AC141" s="474">
        <f t="shared" si="109"/>
        <v>75644.269533351253</v>
      </c>
      <c r="AD141" s="1240">
        <f t="shared" si="110"/>
        <v>0</v>
      </c>
      <c r="AE141" s="100">
        <f t="shared" si="111"/>
        <v>0.58809227322019952</v>
      </c>
      <c r="AF141" s="100">
        <f t="shared" si="112"/>
        <v>0.16581107044673099</v>
      </c>
      <c r="AG141" s="100">
        <f t="shared" si="113"/>
        <v>3.9044806100561387E-2</v>
      </c>
      <c r="AH141" s="100">
        <f t="shared" si="126"/>
        <v>0</v>
      </c>
      <c r="AI141" s="100">
        <f t="shared" si="114"/>
        <v>0.20705185023250813</v>
      </c>
      <c r="AJ141" s="471">
        <f t="shared" si="115"/>
        <v>1</v>
      </c>
      <c r="AK141" s="1250">
        <f t="shared" si="116"/>
        <v>42171.253062058822</v>
      </c>
      <c r="AL141" s="1251">
        <f t="shared" si="117"/>
        <v>2197.080474396314</v>
      </c>
      <c r="AM141" s="1251">
        <f t="shared" si="118"/>
        <v>117.47688949488752</v>
      </c>
      <c r="AN141" s="1251">
        <f t="shared" si="119"/>
        <v>44485.810425950025</v>
      </c>
      <c r="AO141" s="1022">
        <f t="shared" si="120"/>
        <v>0</v>
      </c>
    </row>
    <row r="142" spans="1:91">
      <c r="A142" s="89">
        <f>'Input data'!A122</f>
        <v>2022</v>
      </c>
      <c r="B142" s="152">
        <f>'Input data'!B122</f>
        <v>60.682333816399378</v>
      </c>
      <c r="C142" s="204">
        <f>'Input data'!C122</f>
        <v>4414.4786843532656</v>
      </c>
      <c r="D142" s="205">
        <f>'Input data'!D122</f>
        <v>50359792.84713313</v>
      </c>
      <c r="E142" s="473">
        <f>'Input data'!J122*C142</f>
        <v>53110.794470048553</v>
      </c>
      <c r="F142" s="474">
        <f>'Input data'!L122</f>
        <v>103470.58731718169</v>
      </c>
      <c r="G142" s="474">
        <f>G137*(1-E4)</f>
        <v>34219.854173807704</v>
      </c>
      <c r="H142" s="474">
        <f t="shared" si="121"/>
        <v>43515.759309397268</v>
      </c>
      <c r="I142" s="475">
        <f t="shared" si="96"/>
        <v>50359.792847133132</v>
      </c>
      <c r="J142" s="579">
        <f t="shared" si="122"/>
        <v>0.19172168528933303</v>
      </c>
      <c r="K142" s="474">
        <f t="shared" si="123"/>
        <v>6555.5329896119956</v>
      </c>
      <c r="L142" s="474">
        <f t="shared" si="97"/>
        <v>0</v>
      </c>
      <c r="M142" s="475">
        <f t="shared" si="124"/>
        <v>6555.5329896119956</v>
      </c>
      <c r="N142" s="579">
        <f>$E$26</f>
        <v>0.5</v>
      </c>
      <c r="O142" s="475">
        <f t="shared" si="98"/>
        <v>751.91700000000026</v>
      </c>
      <c r="P142" s="1234">
        <f t="shared" si="127"/>
        <v>7307.449989611996</v>
      </c>
      <c r="Q142" s="467">
        <f t="shared" si="99"/>
        <v>70428.163493592976</v>
      </c>
      <c r="R142" s="467">
        <f t="shared" si="125"/>
        <v>36208.309319785272</v>
      </c>
      <c r="S142" s="1255">
        <f t="shared" si="100"/>
        <v>1.2181737850093515</v>
      </c>
      <c r="T142" s="118" t="str">
        <f t="shared" si="101"/>
        <v>No</v>
      </c>
      <c r="U142" s="1255">
        <f t="shared" si="102"/>
        <v>1</v>
      </c>
      <c r="V142" s="1268">
        <f t="shared" si="95"/>
        <v>73747.152315247789</v>
      </c>
      <c r="W142" s="1269">
        <f t="shared" si="103"/>
        <v>0.28726458187406279</v>
      </c>
      <c r="X142" s="473">
        <f t="shared" si="104"/>
        <v>40704.728491659065</v>
      </c>
      <c r="Y142" s="474">
        <f t="shared" si="105"/>
        <v>13908.078054615326</v>
      </c>
      <c r="Z142" s="474">
        <f t="shared" si="106"/>
        <v>3151.9670848679066</v>
      </c>
      <c r="AA142" s="474">
        <f t="shared" si="107"/>
        <v>0</v>
      </c>
      <c r="AB142" s="474">
        <f t="shared" si="108"/>
        <v>15982.378684105484</v>
      </c>
      <c r="AC142" s="474">
        <f t="shared" si="109"/>
        <v>73747.152315247789</v>
      </c>
      <c r="AD142" s="475">
        <f t="shared" si="110"/>
        <v>6484.8743178513614</v>
      </c>
      <c r="AE142" s="100">
        <f t="shared" si="111"/>
        <v>0.55194983418014709</v>
      </c>
      <c r="AF142" s="100">
        <f t="shared" si="112"/>
        <v>0.18859139123314628</v>
      </c>
      <c r="AG142" s="100">
        <f t="shared" si="113"/>
        <v>4.2740187056907054E-2</v>
      </c>
      <c r="AH142" s="100">
        <f t="shared" si="126"/>
        <v>0</v>
      </c>
      <c r="AI142" s="100">
        <f t="shared" si="114"/>
        <v>0.2167185875297995</v>
      </c>
      <c r="AJ142" s="471">
        <f t="shared" si="115"/>
        <v>1</v>
      </c>
      <c r="AK142" s="1250">
        <f t="shared" si="116"/>
        <v>40704.728491659072</v>
      </c>
      <c r="AL142" s="1251">
        <f t="shared" si="117"/>
        <v>0</v>
      </c>
      <c r="AM142" s="1251">
        <f t="shared" si="118"/>
        <v>0</v>
      </c>
      <c r="AN142" s="1251">
        <f t="shared" si="119"/>
        <v>40704.728491659072</v>
      </c>
      <c r="AO142" s="1022">
        <f t="shared" si="120"/>
        <v>0</v>
      </c>
    </row>
    <row r="143" spans="1:91">
      <c r="A143" s="89">
        <f>'Input data'!A123</f>
        <v>2023</v>
      </c>
      <c r="B143" s="152">
        <f>'Input data'!B123</f>
        <v>61.381040636574369</v>
      </c>
      <c r="C143" s="204">
        <f>'Input data'!C123</f>
        <v>4492.6346436826334</v>
      </c>
      <c r="D143" s="205">
        <f>'Input data'!D123</f>
        <v>48665382.683029473</v>
      </c>
      <c r="E143" s="473">
        <f>'Input data'!J123*C143</f>
        <v>54051.092382747534</v>
      </c>
      <c r="F143" s="474">
        <f>'Input data'!L123</f>
        <v>102716.47506577701</v>
      </c>
      <c r="G143" s="474">
        <f>($G$147-$G$142)/($A$147-$A$142)+G142</f>
        <v>32166.662923379241</v>
      </c>
      <c r="H143" s="474">
        <f t="shared" si="121"/>
        <v>44518.377146558159</v>
      </c>
      <c r="I143" s="475">
        <f t="shared" si="96"/>
        <v>48665.382683029471</v>
      </c>
      <c r="J143" s="579">
        <f t="shared" si="122"/>
        <v>0.21775647462816641</v>
      </c>
      <c r="K143" s="474">
        <f t="shared" si="123"/>
        <v>7601.957917478293</v>
      </c>
      <c r="L143" s="474">
        <f t="shared" si="97"/>
        <v>0</v>
      </c>
      <c r="M143" s="475">
        <f t="shared" si="124"/>
        <v>7601.957917478293</v>
      </c>
      <c r="N143" s="579">
        <f>($N$147-$N$142)/($A$107-$A$102)+N142</f>
        <v>0.5</v>
      </c>
      <c r="O143" s="475">
        <f t="shared" si="98"/>
        <v>751.91700000000026</v>
      </c>
      <c r="P143" s="1234">
        <f t="shared" si="127"/>
        <v>8353.8749174782934</v>
      </c>
      <c r="Q143" s="467">
        <f t="shared" si="99"/>
        <v>68331.165152459114</v>
      </c>
      <c r="R143" s="467">
        <f t="shared" si="125"/>
        <v>36164.502229079873</v>
      </c>
      <c r="S143" s="1255">
        <f t="shared" si="100"/>
        <v>1.1950077846113711</v>
      </c>
      <c r="T143" s="118" t="str">
        <f t="shared" si="101"/>
        <v>No</v>
      </c>
      <c r="U143" s="1255">
        <f t="shared" si="102"/>
        <v>1</v>
      </c>
      <c r="V143" s="1268">
        <f t="shared" si="95"/>
        <v>72453.490426860255</v>
      </c>
      <c r="W143" s="1269">
        <f t="shared" si="103"/>
        <v>0.29462639386268963</v>
      </c>
      <c r="X143" s="473">
        <f t="shared" si="104"/>
        <v>38068.180513542356</v>
      </c>
      <c r="Y143" s="474">
        <f t="shared" si="105"/>
        <v>14925.513177657298</v>
      </c>
      <c r="Z143" s="474">
        <f t="shared" si="106"/>
        <v>3194.4586745285919</v>
      </c>
      <c r="AA143" s="474">
        <f t="shared" si="107"/>
        <v>0</v>
      </c>
      <c r="AB143" s="474">
        <f t="shared" si="108"/>
        <v>16265.338061132017</v>
      </c>
      <c r="AC143" s="474">
        <f t="shared" si="109"/>
        <v>72453.490426860255</v>
      </c>
      <c r="AD143" s="475">
        <f t="shared" si="110"/>
        <v>5901.5175901631155</v>
      </c>
      <c r="AE143" s="100">
        <f t="shared" si="111"/>
        <v>0.52541541186302276</v>
      </c>
      <c r="AF143" s="100">
        <f t="shared" si="112"/>
        <v>0.20600129945049619</v>
      </c>
      <c r="AG143" s="100">
        <f t="shared" si="113"/>
        <v>4.4089783055425158E-2</v>
      </c>
      <c r="AH143" s="100">
        <f t="shared" si="126"/>
        <v>0</v>
      </c>
      <c r="AI143" s="100">
        <f t="shared" si="114"/>
        <v>0.22449350563105602</v>
      </c>
      <c r="AJ143" s="471">
        <f t="shared" si="115"/>
        <v>1</v>
      </c>
      <c r="AK143" s="1250">
        <f t="shared" si="116"/>
        <v>38068.180513542356</v>
      </c>
      <c r="AL143" s="1251">
        <f t="shared" si="117"/>
        <v>0</v>
      </c>
      <c r="AM143" s="1251">
        <f t="shared" si="118"/>
        <v>0</v>
      </c>
      <c r="AN143" s="1251">
        <f>SUM(AK143:AM143)</f>
        <v>38068.180513542356</v>
      </c>
      <c r="AO143" s="1022">
        <f t="shared" si="120"/>
        <v>0</v>
      </c>
    </row>
    <row r="144" spans="1:91">
      <c r="A144" s="89">
        <f>'Input data'!A124</f>
        <v>2024</v>
      </c>
      <c r="B144" s="152">
        <f>'Input data'!B124</f>
        <v>62.087792487153699</v>
      </c>
      <c r="C144" s="204">
        <f>'Input data'!C124</f>
        <v>4579.7873251148294</v>
      </c>
      <c r="D144" s="205">
        <f>'Input data'!D124</f>
        <v>48951332.662830688</v>
      </c>
      <c r="E144" s="473">
        <f>'Input data'!J124*C144</f>
        <v>55099.630269557405</v>
      </c>
      <c r="F144" s="474">
        <f>'Input data'!L124</f>
        <v>104050.96293238809</v>
      </c>
      <c r="G144" s="474">
        <f t="shared" ref="G144:G146" si="128">($G$147-$G$142)/($A$147-$A$142)+G143</f>
        <v>30113.471672950778</v>
      </c>
      <c r="H144" s="474">
        <f t="shared" si="121"/>
        <v>47441.577306947831</v>
      </c>
      <c r="I144" s="475">
        <f t="shared" si="96"/>
        <v>48951.33266283069</v>
      </c>
      <c r="J144" s="579">
        <f t="shared" si="122"/>
        <v>0.24379126396699979</v>
      </c>
      <c r="K144" s="474">
        <f t="shared" si="123"/>
        <v>8921.0634361236534</v>
      </c>
      <c r="L144" s="474">
        <f t="shared" si="97"/>
        <v>0</v>
      </c>
      <c r="M144" s="475">
        <f t="shared" si="124"/>
        <v>8921.0634361236534</v>
      </c>
      <c r="N144" s="579">
        <f>($N$147-$N$142)/($A$107-$A$102)+N143</f>
        <v>0.5</v>
      </c>
      <c r="O144" s="475">
        <f t="shared" si="98"/>
        <v>751.91700000000026</v>
      </c>
      <c r="P144" s="1234">
        <f t="shared" si="127"/>
        <v>9672.9804361236529</v>
      </c>
      <c r="Q144" s="467">
        <f t="shared" si="99"/>
        <v>67882.068543774949</v>
      </c>
      <c r="R144" s="467">
        <f t="shared" si="125"/>
        <v>37768.596870824171</v>
      </c>
      <c r="S144" s="1255">
        <f t="shared" si="100"/>
        <v>1.223684871229491</v>
      </c>
      <c r="T144" s="118" t="str">
        <f t="shared" si="101"/>
        <v>No</v>
      </c>
      <c r="U144" s="1255">
        <f t="shared" si="102"/>
        <v>1</v>
      </c>
      <c r="V144" s="1268">
        <f t="shared" si="95"/>
        <v>73186.319788703258</v>
      </c>
      <c r="W144" s="1269">
        <f t="shared" si="103"/>
        <v>0.29663005775103268</v>
      </c>
      <c r="X144" s="473">
        <f t="shared" si="104"/>
        <v>37017.425400090113</v>
      </c>
      <c r="Y144" s="474">
        <f t="shared" si="105"/>
        <v>16346.183235870674</v>
      </c>
      <c r="Z144" s="474">
        <f t="shared" si="106"/>
        <v>3241.8415741695385</v>
      </c>
      <c r="AA144" s="474">
        <f t="shared" si="107"/>
        <v>0</v>
      </c>
      <c r="AB144" s="474">
        <f t="shared" si="108"/>
        <v>16580.869578572932</v>
      </c>
      <c r="AC144" s="474">
        <f t="shared" si="109"/>
        <v>73186.319788703258</v>
      </c>
      <c r="AD144" s="475">
        <f t="shared" si="110"/>
        <v>6903.9537271393347</v>
      </c>
      <c r="AE144" s="100">
        <f t="shared" si="111"/>
        <v>0.50579706025611593</v>
      </c>
      <c r="AF144" s="100">
        <f t="shared" si="112"/>
        <v>0.22335025566340616</v>
      </c>
      <c r="AG144" s="100">
        <f t="shared" si="113"/>
        <v>4.429573154558232E-2</v>
      </c>
      <c r="AH144" s="100">
        <f t="shared" si="126"/>
        <v>0</v>
      </c>
      <c r="AI144" s="100">
        <f t="shared" si="114"/>
        <v>0.22655695253489558</v>
      </c>
      <c r="AJ144" s="471">
        <f t="shared" si="115"/>
        <v>1</v>
      </c>
      <c r="AK144" s="1250">
        <f t="shared" si="116"/>
        <v>37017.425400090113</v>
      </c>
      <c r="AL144" s="1251">
        <f t="shared" si="117"/>
        <v>0</v>
      </c>
      <c r="AM144" s="1251">
        <f t="shared" si="118"/>
        <v>0</v>
      </c>
      <c r="AN144" s="1251">
        <f t="shared" si="119"/>
        <v>37017.425400090113</v>
      </c>
      <c r="AO144" s="1022">
        <f t="shared" si="120"/>
        <v>0</v>
      </c>
    </row>
    <row r="145" spans="1:41">
      <c r="A145" s="89">
        <f>'Input data'!A125</f>
        <v>2025</v>
      </c>
      <c r="B145" s="152">
        <f>'Input data'!B125</f>
        <v>62.802682000000026</v>
      </c>
      <c r="C145" s="204">
        <f>'Input data'!C125</f>
        <v>4678.6267528880244</v>
      </c>
      <c r="D145" s="205">
        <f>'Input data'!D125</f>
        <v>48538822.712079689</v>
      </c>
      <c r="E145" s="473">
        <f>'Input data'!J125*C145</f>
        <v>56288.771934824821</v>
      </c>
      <c r="F145" s="474">
        <f>'Input data'!L125</f>
        <v>104827.5946469045</v>
      </c>
      <c r="G145" s="474">
        <f t="shared" si="128"/>
        <v>28060.280422522315</v>
      </c>
      <c r="H145" s="474">
        <f t="shared" si="121"/>
        <v>49789.985615151316</v>
      </c>
      <c r="I145" s="475">
        <f t="shared" si="96"/>
        <v>48538.822712079687</v>
      </c>
      <c r="J145" s="579">
        <f t="shared" si="122"/>
        <v>0.26982605330583315</v>
      </c>
      <c r="K145" s="474">
        <f t="shared" si="123"/>
        <v>10109.584192511804</v>
      </c>
      <c r="L145" s="474">
        <f t="shared" si="97"/>
        <v>0</v>
      </c>
      <c r="M145" s="475">
        <f t="shared" si="124"/>
        <v>10109.584192511804</v>
      </c>
      <c r="N145" s="579">
        <f>($N$147-$N$142)/($A$107-$A$102)+N144</f>
        <v>0.5</v>
      </c>
      <c r="O145" s="475">
        <f t="shared" si="98"/>
        <v>751.91700000000026</v>
      </c>
      <c r="P145" s="1234">
        <f t="shared" si="127"/>
        <v>10861.501192511803</v>
      </c>
      <c r="Q145" s="467">
        <f t="shared" si="99"/>
        <v>66988.76484516183</v>
      </c>
      <c r="R145" s="467">
        <f t="shared" si="125"/>
        <v>38928.484422639514</v>
      </c>
      <c r="S145" s="1255">
        <f t="shared" si="100"/>
        <v>1.2339844596289533</v>
      </c>
      <c r="T145" s="118" t="str">
        <f t="shared" si="101"/>
        <v>No</v>
      </c>
      <c r="U145" s="1255">
        <f t="shared" si="102"/>
        <v>1</v>
      </c>
      <c r="V145" s="1268">
        <f t="shared" si="95"/>
        <v>73280.613549310365</v>
      </c>
      <c r="W145" s="1269">
        <f t="shared" si="103"/>
        <v>0.30094157176700709</v>
      </c>
      <c r="X145" s="473">
        <f t="shared" si="104"/>
        <v>35441.783747567686</v>
      </c>
      <c r="Y145" s="474">
        <f t="shared" si="105"/>
        <v>17604.539191827451</v>
      </c>
      <c r="Z145" s="474">
        <f t="shared" si="106"/>
        <v>3295.5782878286518</v>
      </c>
      <c r="AA145" s="474">
        <f t="shared" si="107"/>
        <v>0</v>
      </c>
      <c r="AB145" s="474">
        <f t="shared" si="108"/>
        <v>16938.71232208658</v>
      </c>
      <c r="AC145" s="474">
        <f t="shared" si="109"/>
        <v>73280.613549310365</v>
      </c>
      <c r="AD145" s="475">
        <f t="shared" si="110"/>
        <v>7381.5033250453707</v>
      </c>
      <c r="AE145" s="100">
        <f t="shared" si="111"/>
        <v>0.48364474628366733</v>
      </c>
      <c r="AF145" s="100">
        <f t="shared" si="112"/>
        <v>0.2402346042037625</v>
      </c>
      <c r="AG145" s="100">
        <f t="shared" si="113"/>
        <v>4.4972034596995621E-2</v>
      </c>
      <c r="AH145" s="100">
        <f t="shared" si="126"/>
        <v>0</v>
      </c>
      <c r="AI145" s="100">
        <f t="shared" si="114"/>
        <v>0.23114861491557459</v>
      </c>
      <c r="AJ145" s="471">
        <f t="shared" si="115"/>
        <v>1</v>
      </c>
      <c r="AK145" s="1250">
        <f t="shared" si="116"/>
        <v>35441.783747567693</v>
      </c>
      <c r="AL145" s="1251">
        <f t="shared" si="117"/>
        <v>0</v>
      </c>
      <c r="AM145" s="1251">
        <f t="shared" si="118"/>
        <v>0</v>
      </c>
      <c r="AN145" s="1251">
        <f t="shared" si="119"/>
        <v>35441.783747567693</v>
      </c>
      <c r="AO145" s="1022">
        <f t="shared" si="120"/>
        <v>0</v>
      </c>
    </row>
    <row r="146" spans="1:41">
      <c r="A146" s="89">
        <f>'Input data'!A126</f>
        <v>2026</v>
      </c>
      <c r="B146" s="152">
        <f>'Input data'!B126</f>
        <v>63.421065342005143</v>
      </c>
      <c r="C146" s="204">
        <f>'Input data'!C126</f>
        <v>4782.707139404285</v>
      </c>
      <c r="D146" s="205">
        <f>'Input data'!D126</f>
        <v>47372560.213695109</v>
      </c>
      <c r="E146" s="473">
        <f>'Input data'!J126*C146</f>
        <v>57540.967813858311</v>
      </c>
      <c r="F146" s="474">
        <f>'Input data'!L126</f>
        <v>104913.52802755342</v>
      </c>
      <c r="G146" s="474">
        <f t="shared" si="128"/>
        <v>26007.089172093853</v>
      </c>
      <c r="H146" s="474">
        <f t="shared" si="121"/>
        <v>51467.21409727697</v>
      </c>
      <c r="I146" s="475">
        <f t="shared" si="96"/>
        <v>47372.560213695106</v>
      </c>
      <c r="J146" s="579">
        <f t="shared" si="122"/>
        <v>0.2958608426446665</v>
      </c>
      <c r="K146" s="474">
        <f t="shared" si="123"/>
        <v>11100.011630442761</v>
      </c>
      <c r="L146" s="474">
        <f t="shared" si="97"/>
        <v>0</v>
      </c>
      <c r="M146" s="475">
        <f t="shared" si="124"/>
        <v>11100.011630442761</v>
      </c>
      <c r="N146" s="579">
        <f>($N$147-$N$142)/($A$107-$A$102)+N145</f>
        <v>0.5</v>
      </c>
      <c r="O146" s="475">
        <f t="shared" si="98"/>
        <v>751.91700000000026</v>
      </c>
      <c r="P146" s="1234">
        <f t="shared" si="127"/>
        <v>11851.928630442761</v>
      </c>
      <c r="Q146" s="467">
        <f t="shared" si="99"/>
        <v>65622.374638928057</v>
      </c>
      <c r="R146" s="467">
        <f t="shared" si="125"/>
        <v>39615.285466834204</v>
      </c>
      <c r="S146" s="1255">
        <f t="shared" si="100"/>
        <v>1.2277908433668587</v>
      </c>
      <c r="T146" s="118" t="str">
        <f t="shared" si="101"/>
        <v>No</v>
      </c>
      <c r="U146" s="1255">
        <f t="shared" si="102"/>
        <v>1</v>
      </c>
      <c r="V146" s="1268">
        <f t="shared" si="95"/>
        <v>72648.02801926143</v>
      </c>
      <c r="W146" s="1269">
        <f t="shared" si="103"/>
        <v>0.30754375164867309</v>
      </c>
      <c r="X146" s="473">
        <f t="shared" si="104"/>
        <v>33356.87463063607</v>
      </c>
      <c r="Y146" s="474">
        <f t="shared" si="105"/>
        <v>18623.45932879344</v>
      </c>
      <c r="Z146" s="474">
        <f t="shared" si="106"/>
        <v>3352.1643896886117</v>
      </c>
      <c r="AA146" s="474">
        <f t="shared" si="107"/>
        <v>0</v>
      </c>
      <c r="AB146" s="474">
        <f t="shared" si="108"/>
        <v>17315.529670143307</v>
      </c>
      <c r="AC146" s="474">
        <f t="shared" si="109"/>
        <v>72648.02801926143</v>
      </c>
      <c r="AD146" s="475">
        <f t="shared" si="110"/>
        <v>7349.7854585422174</v>
      </c>
      <c r="AE146" s="100">
        <f t="shared" si="111"/>
        <v>0.45915733076460169</v>
      </c>
      <c r="AF146" s="100">
        <f t="shared" si="112"/>
        <v>0.25635189056825791</v>
      </c>
      <c r="AG146" s="100">
        <f t="shared" si="113"/>
        <v>4.614253794748345E-2</v>
      </c>
      <c r="AH146" s="100">
        <f t="shared" si="126"/>
        <v>0</v>
      </c>
      <c r="AI146" s="100">
        <f t="shared" si="114"/>
        <v>0.23834824071965696</v>
      </c>
      <c r="AJ146" s="471">
        <f t="shared" si="115"/>
        <v>1</v>
      </c>
      <c r="AK146" s="1250">
        <f t="shared" si="116"/>
        <v>33356.87463063607</v>
      </c>
      <c r="AL146" s="1251">
        <f t="shared" si="117"/>
        <v>0</v>
      </c>
      <c r="AM146" s="1251">
        <f t="shared" si="118"/>
        <v>0</v>
      </c>
      <c r="AN146" s="1251">
        <f t="shared" si="119"/>
        <v>33356.87463063607</v>
      </c>
      <c r="AO146" s="1022">
        <f t="shared" si="120"/>
        <v>0</v>
      </c>
    </row>
    <row r="147" spans="1:41">
      <c r="A147" s="89">
        <f>'Input data'!A127</f>
        <v>2027</v>
      </c>
      <c r="B147" s="152">
        <f>'Input data'!B127</f>
        <v>64.045537563425796</v>
      </c>
      <c r="C147" s="204">
        <f>'Input data'!C127</f>
        <v>4895.4664822406658</v>
      </c>
      <c r="D147" s="205">
        <f>'Input data'!D127</f>
        <v>47544656.205152296</v>
      </c>
      <c r="E147" s="473">
        <f>'Input data'!J127*C147</f>
        <v>58897.58061237228</v>
      </c>
      <c r="F147" s="474">
        <f>'Input data'!L127</f>
        <v>106442.23681752456</v>
      </c>
      <c r="G147" s="474">
        <f>G137*(1-E5)</f>
        <v>23953.89792166539</v>
      </c>
      <c r="H147" s="474">
        <f t="shared" si="121"/>
        <v>54460.343302584144</v>
      </c>
      <c r="I147" s="475">
        <f t="shared" si="96"/>
        <v>47544.656205152292</v>
      </c>
      <c r="J147" s="579">
        <f t="shared" si="122"/>
        <v>0.32189563198349985</v>
      </c>
      <c r="K147" s="474">
        <f t="shared" si="123"/>
        <v>12378.151084883968</v>
      </c>
      <c r="L147" s="474">
        <f t="shared" si="97"/>
        <v>0</v>
      </c>
      <c r="M147" s="475">
        <f t="shared" si="124"/>
        <v>12378.151084883968</v>
      </c>
      <c r="N147" s="579">
        <f>$C$27</f>
        <v>0.5</v>
      </c>
      <c r="O147" s="475">
        <f t="shared" si="98"/>
        <v>751.91700000000026</v>
      </c>
      <c r="P147" s="1234">
        <f t="shared" si="127"/>
        <v>13130.068084883967</v>
      </c>
      <c r="Q147" s="467">
        <f t="shared" si="99"/>
        <v>65284.173139365565</v>
      </c>
      <c r="R147" s="467">
        <f t="shared" si="125"/>
        <v>41330.275217700175</v>
      </c>
      <c r="S147" s="1255">
        <f t="shared" si="100"/>
        <v>1.2507673905933612</v>
      </c>
      <c r="T147" s="118" t="str">
        <f t="shared" si="101"/>
        <v>No</v>
      </c>
      <c r="U147" s="1255">
        <f t="shared" si="102"/>
        <v>1</v>
      </c>
      <c r="V147" s="1268">
        <f t="shared" si="95"/>
        <v>73398.302726715585</v>
      </c>
      <c r="W147" s="1269">
        <f t="shared" si="103"/>
        <v>0.31044005724397417</v>
      </c>
      <c r="X147" s="473">
        <f t="shared" si="104"/>
        <v>32240.23904855657</v>
      </c>
      <c r="Y147" s="474">
        <f t="shared" si="105"/>
        <v>20020.825933571552</v>
      </c>
      <c r="Z147" s="474">
        <f t="shared" si="106"/>
        <v>3413.4690396132614</v>
      </c>
      <c r="AA147" s="474">
        <f t="shared" si="107"/>
        <v>0</v>
      </c>
      <c r="AB147" s="474">
        <f t="shared" si="108"/>
        <v>17723.768704974198</v>
      </c>
      <c r="AC147" s="474">
        <f t="shared" si="109"/>
        <v>73398.302726715585</v>
      </c>
      <c r="AD147" s="475">
        <f t="shared" si="110"/>
        <v>8286.3411268911805</v>
      </c>
      <c r="AE147" s="100">
        <f t="shared" si="111"/>
        <v>0.4392504710714753</v>
      </c>
      <c r="AF147" s="100">
        <f t="shared" si="112"/>
        <v>0.27276960351679019</v>
      </c>
      <c r="AG147" s="100">
        <f t="shared" si="113"/>
        <v>4.6506103176835775E-2</v>
      </c>
      <c r="AH147" s="100">
        <f t="shared" si="126"/>
        <v>0</v>
      </c>
      <c r="AI147" s="100">
        <f t="shared" si="114"/>
        <v>0.24147382223489869</v>
      </c>
      <c r="AJ147" s="471">
        <f t="shared" si="115"/>
        <v>0.99999999999999989</v>
      </c>
      <c r="AK147" s="1250">
        <f t="shared" si="116"/>
        <v>32240.239048556563</v>
      </c>
      <c r="AL147" s="1251">
        <f t="shared" si="117"/>
        <v>0</v>
      </c>
      <c r="AM147" s="1251">
        <f t="shared" si="118"/>
        <v>0</v>
      </c>
      <c r="AN147" s="1251">
        <f t="shared" si="119"/>
        <v>32240.239048556563</v>
      </c>
      <c r="AO147" s="1022">
        <f t="shared" si="120"/>
        <v>0</v>
      </c>
    </row>
    <row r="148" spans="1:41">
      <c r="A148" s="89">
        <f>'Input data'!A128</f>
        <v>2028</v>
      </c>
      <c r="B148" s="152">
        <f>'Input data'!B128</f>
        <v>64.676158618096451</v>
      </c>
      <c r="C148" s="204">
        <f>'Input data'!C128</f>
        <v>5007.2618284439486</v>
      </c>
      <c r="D148" s="205">
        <f>'Input data'!D128</f>
        <v>47264829.111875661</v>
      </c>
      <c r="E148" s="473">
        <f>'Input data'!J128*C148</f>
        <v>60242.595523409356</v>
      </c>
      <c r="F148" s="474">
        <f>'Input data'!L128</f>
        <v>107507.42463528502</v>
      </c>
      <c r="G148" s="474">
        <f>($G$152-$G$147)/($A$152-$A$147)+G147</f>
        <v>21900.706671236927</v>
      </c>
      <c r="H148" s="474">
        <f t="shared" si="121"/>
        <v>57022.709316633642</v>
      </c>
      <c r="I148" s="475">
        <f t="shared" si="96"/>
        <v>47264.829111875661</v>
      </c>
      <c r="J148" s="579">
        <f t="shared" si="122"/>
        <v>0.34793042132233321</v>
      </c>
      <c r="K148" s="474">
        <f t="shared" si="123"/>
        <v>13535.828559700056</v>
      </c>
      <c r="L148" s="474">
        <f t="shared" si="97"/>
        <v>0</v>
      </c>
      <c r="M148" s="475">
        <f t="shared" si="124"/>
        <v>13535.828559700056</v>
      </c>
      <c r="N148" s="579">
        <f>N147</f>
        <v>0.5</v>
      </c>
      <c r="O148" s="475">
        <f t="shared" si="98"/>
        <v>751.91700000000026</v>
      </c>
      <c r="P148" s="1234">
        <f t="shared" si="127"/>
        <v>14287.745559700055</v>
      </c>
      <c r="Q148" s="467">
        <f t="shared" si="99"/>
        <v>64635.670428170517</v>
      </c>
      <c r="R148" s="467">
        <f t="shared" si="125"/>
        <v>42734.96375693359</v>
      </c>
      <c r="S148" s="1255">
        <f t="shared" si="100"/>
        <v>1.263760532720952</v>
      </c>
      <c r="T148" s="118" t="str">
        <f t="shared" si="101"/>
        <v>No</v>
      </c>
      <c r="U148" s="1255">
        <f t="shared" si="102"/>
        <v>1</v>
      </c>
      <c r="V148" s="1268">
        <f t="shared" si="95"/>
        <v>73691.711412367193</v>
      </c>
      <c r="W148" s="1269">
        <f t="shared" si="103"/>
        <v>0.31454304981852543</v>
      </c>
      <c r="X148" s="473">
        <f t="shared" si="104"/>
        <v>30819.957205252682</v>
      </c>
      <c r="Y148" s="474">
        <f t="shared" si="105"/>
        <v>21268.986977569155</v>
      </c>
      <c r="Z148" s="474">
        <f t="shared" si="106"/>
        <v>3474.2495868371143</v>
      </c>
      <c r="AA148" s="474">
        <f t="shared" si="107"/>
        <v>0</v>
      </c>
      <c r="AB148" s="474">
        <f t="shared" si="108"/>
        <v>18128.517642708237</v>
      </c>
      <c r="AC148" s="474">
        <f t="shared" si="109"/>
        <v>73691.711412367193</v>
      </c>
      <c r="AD148" s="475">
        <f t="shared" si="110"/>
        <v>8919.250534015755</v>
      </c>
      <c r="AE148" s="100">
        <f t="shared" si="111"/>
        <v>0.41822827309287286</v>
      </c>
      <c r="AF148" s="100">
        <f t="shared" si="112"/>
        <v>0.28862115657148008</v>
      </c>
      <c r="AG148" s="100">
        <f t="shared" si="113"/>
        <v>4.7145730778265706E-2</v>
      </c>
      <c r="AH148" s="100">
        <f t="shared" si="126"/>
        <v>0</v>
      </c>
      <c r="AI148" s="100">
        <f t="shared" si="114"/>
        <v>0.24600483955738131</v>
      </c>
      <c r="AJ148" s="471">
        <f t="shared" si="115"/>
        <v>0.99999999999999989</v>
      </c>
      <c r="AK148" s="1250">
        <f t="shared" si="116"/>
        <v>30819.957205252678</v>
      </c>
      <c r="AL148" s="1251">
        <f t="shared" si="117"/>
        <v>0</v>
      </c>
      <c r="AM148" s="1251">
        <f t="shared" si="118"/>
        <v>0</v>
      </c>
      <c r="AN148" s="1251">
        <f t="shared" si="119"/>
        <v>30819.957205252678</v>
      </c>
      <c r="AO148" s="1022">
        <f t="shared" si="120"/>
        <v>0</v>
      </c>
    </row>
    <row r="149" spans="1:41">
      <c r="A149" s="89">
        <f>'Input data'!A129</f>
        <v>2029</v>
      </c>
      <c r="B149" s="152">
        <f>'Input data'!B129</f>
        <v>65.31298905018393</v>
      </c>
      <c r="C149" s="204">
        <f>'Input data'!C129</f>
        <v>5127.4326756514902</v>
      </c>
      <c r="D149" s="205">
        <f>'Input data'!D129</f>
        <v>45911028.865820996</v>
      </c>
      <c r="E149" s="473">
        <f>'Input data'!J129*C149</f>
        <v>61688.376469176088</v>
      </c>
      <c r="F149" s="474">
        <f>'Input data'!L129</f>
        <v>107599.40533499708</v>
      </c>
      <c r="G149" s="474">
        <f t="shared" ref="G149:G151" si="129">($G$152-$G$147)/($A$152-$A$147)+G148</f>
        <v>19847.515420808464</v>
      </c>
      <c r="H149" s="474">
        <f t="shared" si="121"/>
        <v>58635.023064926318</v>
      </c>
      <c r="I149" s="475">
        <f t="shared" si="96"/>
        <v>45911.028865820997</v>
      </c>
      <c r="J149" s="579">
        <f t="shared" si="122"/>
        <v>0.37396521066116656</v>
      </c>
      <c r="K149" s="474">
        <f t="shared" si="123"/>
        <v>14343.407578208971</v>
      </c>
      <c r="L149" s="474">
        <f t="shared" si="97"/>
        <v>0</v>
      </c>
      <c r="M149" s="475">
        <f t="shared" si="124"/>
        <v>14343.407578208971</v>
      </c>
      <c r="N149" s="579">
        <f t="shared" ref="N149:N170" si="130">N148</f>
        <v>0.5</v>
      </c>
      <c r="O149" s="475">
        <f t="shared" si="98"/>
        <v>751.91700000000026</v>
      </c>
      <c r="P149" s="1234">
        <f t="shared" si="127"/>
        <v>15095.324578208971</v>
      </c>
      <c r="Q149" s="467">
        <f t="shared" si="99"/>
        <v>63387.213907525809</v>
      </c>
      <c r="R149" s="467">
        <f t="shared" si="125"/>
        <v>43539.698486717345</v>
      </c>
      <c r="S149" s="1255">
        <f t="shared" si="100"/>
        <v>1.2567269621802555</v>
      </c>
      <c r="T149" s="118" t="str">
        <f t="shared" si="101"/>
        <v>No</v>
      </c>
      <c r="U149" s="1255">
        <f t="shared" si="102"/>
        <v>1</v>
      </c>
      <c r="V149" s="1268">
        <f t="shared" si="95"/>
        <v>72954.092711814621</v>
      </c>
      <c r="W149" s="1269">
        <f t="shared" si="103"/>
        <v>0.32198423880985849</v>
      </c>
      <c r="X149" s="473">
        <f t="shared" si="104"/>
        <v>28741.901284343348</v>
      </c>
      <c r="Y149" s="474">
        <f t="shared" si="105"/>
        <v>22109.018103152037</v>
      </c>
      <c r="Z149" s="474">
        <f t="shared" si="106"/>
        <v>3539.5837004803343</v>
      </c>
      <c r="AA149" s="474">
        <f t="shared" si="107"/>
        <v>0</v>
      </c>
      <c r="AB149" s="474">
        <f t="shared" si="108"/>
        <v>18563.58962383891</v>
      </c>
      <c r="AC149" s="474">
        <f t="shared" si="109"/>
        <v>72954.092711814621</v>
      </c>
      <c r="AD149" s="475">
        <f t="shared" si="110"/>
        <v>8894.3858635348843</v>
      </c>
      <c r="AE149" s="100">
        <f t="shared" si="111"/>
        <v>0.39397243137380167</v>
      </c>
      <c r="AF149" s="100">
        <f t="shared" si="112"/>
        <v>0.3030538422359349</v>
      </c>
      <c r="AG149" s="100">
        <f t="shared" si="113"/>
        <v>4.8517959293421696E-2</v>
      </c>
      <c r="AH149" s="100">
        <f t="shared" si="126"/>
        <v>0</v>
      </c>
      <c r="AI149" s="100">
        <f t="shared" si="114"/>
        <v>0.25445576709684187</v>
      </c>
      <c r="AJ149" s="471">
        <f t="shared" si="115"/>
        <v>1.0000000000000002</v>
      </c>
      <c r="AK149" s="1250">
        <f t="shared" si="116"/>
        <v>28741.901284343345</v>
      </c>
      <c r="AL149" s="1251">
        <f t="shared" si="117"/>
        <v>0</v>
      </c>
      <c r="AM149" s="1251">
        <f t="shared" si="118"/>
        <v>0</v>
      </c>
      <c r="AN149" s="1251">
        <f t="shared" si="119"/>
        <v>28741.901284343345</v>
      </c>
      <c r="AO149" s="1022">
        <f t="shared" si="120"/>
        <v>0</v>
      </c>
    </row>
    <row r="150" spans="1:41">
      <c r="A150" s="89">
        <f>'Input data'!A130</f>
        <v>2030</v>
      </c>
      <c r="B150" s="152">
        <f>'Input data'!B130</f>
        <v>65.956090000000003</v>
      </c>
      <c r="C150" s="204">
        <f>'Input data'!C130</f>
        <v>5247.6087278453806</v>
      </c>
      <c r="D150" s="205">
        <f>'Input data'!D130</f>
        <v>43025080.542663962</v>
      </c>
      <c r="E150" s="473">
        <f>'Input data'!J130*C150</f>
        <v>63134.220036371073</v>
      </c>
      <c r="F150" s="474">
        <f>'Input data'!L130</f>
        <v>106159.30057903504</v>
      </c>
      <c r="G150" s="474">
        <f t="shared" si="129"/>
        <v>17794.324170380001</v>
      </c>
      <c r="H150" s="474">
        <f t="shared" si="121"/>
        <v>58809.524918076582</v>
      </c>
      <c r="I150" s="475">
        <f t="shared" si="96"/>
        <v>43025.080542663964</v>
      </c>
      <c r="J150" s="579">
        <f>$H$19</f>
        <v>0.4</v>
      </c>
      <c r="K150" s="474">
        <f t="shared" si="123"/>
        <v>14561.935806789734</v>
      </c>
      <c r="L150" s="474">
        <f t="shared" si="97"/>
        <v>0</v>
      </c>
      <c r="M150" s="475">
        <f t="shared" si="124"/>
        <v>14561.935806789734</v>
      </c>
      <c r="N150" s="579">
        <f t="shared" si="130"/>
        <v>0.5</v>
      </c>
      <c r="O150" s="475">
        <f t="shared" si="98"/>
        <v>751.91700000000026</v>
      </c>
      <c r="P150" s="1234">
        <f t="shared" si="127"/>
        <v>15313.852806789733</v>
      </c>
      <c r="Q150" s="467">
        <f t="shared" si="99"/>
        <v>61289.996281666849</v>
      </c>
      <c r="R150" s="467">
        <f t="shared" si="125"/>
        <v>43495.672111286847</v>
      </c>
      <c r="S150" s="1255">
        <f t="shared" si="100"/>
        <v>1.2260954453027273</v>
      </c>
      <c r="T150" s="118" t="str">
        <f t="shared" si="101"/>
        <v>No</v>
      </c>
      <c r="U150" s="1255">
        <f t="shared" si="102"/>
        <v>1</v>
      </c>
      <c r="V150" s="1268">
        <f t="shared" si="95"/>
        <v>70684.352622966573</v>
      </c>
      <c r="W150" s="1269">
        <f t="shared" si="103"/>
        <v>0.33416712207572952</v>
      </c>
      <c r="X150" s="473">
        <f t="shared" si="104"/>
        <v>25815.048325598378</v>
      </c>
      <c r="Y150" s="474">
        <f t="shared" si="105"/>
        <v>22265.703204075762</v>
      </c>
      <c r="Z150" s="474">
        <f t="shared" si="106"/>
        <v>3604.9206439543955</v>
      </c>
      <c r="AA150" s="474">
        <f t="shared" si="107"/>
        <v>0</v>
      </c>
      <c r="AB150" s="474">
        <f t="shared" si="108"/>
        <v>18998.680449338044</v>
      </c>
      <c r="AC150" s="474">
        <f t="shared" si="109"/>
        <v>70684.352622966573</v>
      </c>
      <c r="AD150" s="475">
        <f t="shared" si="110"/>
        <v>8020.7241552183768</v>
      </c>
      <c r="AE150" s="100">
        <f t="shared" si="111"/>
        <v>0.36521588396369664</v>
      </c>
      <c r="AF150" s="100">
        <f t="shared" si="112"/>
        <v>0.3150018692657765</v>
      </c>
      <c r="AG150" s="100">
        <f t="shared" si="113"/>
        <v>5.1000263993124476E-2</v>
      </c>
      <c r="AH150" s="100">
        <f t="shared" si="126"/>
        <v>0</v>
      </c>
      <c r="AI150" s="100">
        <f t="shared" si="114"/>
        <v>0.26878198277740245</v>
      </c>
      <c r="AJ150" s="471">
        <f t="shared" si="115"/>
        <v>1</v>
      </c>
      <c r="AK150" s="1250">
        <f t="shared" si="116"/>
        <v>25815.048325598378</v>
      </c>
      <c r="AL150" s="1251">
        <f t="shared" si="117"/>
        <v>0</v>
      </c>
      <c r="AM150" s="1251">
        <f t="shared" si="118"/>
        <v>0</v>
      </c>
      <c r="AN150" s="1251">
        <f t="shared" si="119"/>
        <v>25815.048325598378</v>
      </c>
      <c r="AO150" s="1022">
        <f t="shared" si="120"/>
        <v>0</v>
      </c>
    </row>
    <row r="151" spans="1:41">
      <c r="A151" s="89">
        <f>'Input data'!A131</f>
        <v>2031</v>
      </c>
      <c r="B151" s="152">
        <f>'Input data'!B131</f>
        <v>66.518977190687664</v>
      </c>
      <c r="C151" s="204">
        <f>'Input data'!C131</f>
        <v>5388.2194214943684</v>
      </c>
      <c r="D151" s="205">
        <f>'Input data'!D131</f>
        <v>41478479.110071354</v>
      </c>
      <c r="E151" s="473">
        <f>'Input data'!J131*C151</f>
        <v>64825.913707279899</v>
      </c>
      <c r="F151" s="474">
        <f>'Input data'!L131</f>
        <v>106304.39281735125</v>
      </c>
      <c r="G151" s="474">
        <f t="shared" si="129"/>
        <v>15741.132919951538</v>
      </c>
      <c r="H151" s="474">
        <f t="shared" si="121"/>
        <v>60382.010429382244</v>
      </c>
      <c r="I151" s="475">
        <f t="shared" si="96"/>
        <v>41478.479110071356</v>
      </c>
      <c r="J151" s="579">
        <f>J150</f>
        <v>0.4</v>
      </c>
      <c r="K151" s="474">
        <f t="shared" si="123"/>
        <v>14038.485054436811</v>
      </c>
      <c r="L151" s="474">
        <f t="shared" si="97"/>
        <v>0</v>
      </c>
      <c r="M151" s="475">
        <f t="shared" si="124"/>
        <v>14038.485054436811</v>
      </c>
      <c r="N151" s="579">
        <f t="shared" si="130"/>
        <v>0.5</v>
      </c>
      <c r="O151" s="475">
        <f t="shared" si="98"/>
        <v>751.91700000000026</v>
      </c>
      <c r="P151" s="1234">
        <f t="shared" si="127"/>
        <v>14790.40205443681</v>
      </c>
      <c r="Q151" s="467">
        <f t="shared" si="99"/>
        <v>61332.741294896972</v>
      </c>
      <c r="R151" s="467">
        <f t="shared" si="125"/>
        <v>45591.608374945434</v>
      </c>
      <c r="S151" s="1255">
        <f t="shared" si="100"/>
        <v>1.2509477423299891</v>
      </c>
      <c r="T151" s="118" t="str">
        <f t="shared" si="101"/>
        <v>No</v>
      </c>
      <c r="U151" s="1255">
        <f t="shared" si="102"/>
        <v>1</v>
      </c>
      <c r="V151" s="1268">
        <f t="shared" si="95"/>
        <v>69858.738988497091</v>
      </c>
      <c r="W151" s="1269">
        <f t="shared" si="103"/>
        <v>0.34284240625384033</v>
      </c>
      <c r="X151" s="473">
        <f t="shared" si="104"/>
        <v>24887.087466042813</v>
      </c>
      <c r="Y151" s="474">
        <f t="shared" si="105"/>
        <v>21782.53031569524</v>
      </c>
      <c r="Z151" s="474">
        <f t="shared" si="106"/>
        <v>3681.3674299410918</v>
      </c>
      <c r="AA151" s="474">
        <f t="shared" si="107"/>
        <v>0</v>
      </c>
      <c r="AB151" s="474">
        <f t="shared" si="108"/>
        <v>19507.753776817954</v>
      </c>
      <c r="AC151" s="474">
        <f t="shared" si="109"/>
        <v>69858.738988497091</v>
      </c>
      <c r="AD151" s="475">
        <f t="shared" si="110"/>
        <v>9145.9545460912741</v>
      </c>
      <c r="AE151" s="100">
        <f t="shared" si="111"/>
        <v>0.35624873604060775</v>
      </c>
      <c r="AF151" s="100">
        <f t="shared" si="112"/>
        <v>0.31180823803993857</v>
      </c>
      <c r="AG151" s="100">
        <f t="shared" si="113"/>
        <v>5.269730721230545E-2</v>
      </c>
      <c r="AH151" s="100">
        <f t="shared" si="126"/>
        <v>0</v>
      </c>
      <c r="AI151" s="100">
        <f t="shared" si="114"/>
        <v>0.27924571870714832</v>
      </c>
      <c r="AJ151" s="471">
        <f t="shared" si="115"/>
        <v>1</v>
      </c>
      <c r="AK151" s="1250">
        <f t="shared" si="116"/>
        <v>24887.087466042816</v>
      </c>
      <c r="AL151" s="1251">
        <f t="shared" si="117"/>
        <v>0</v>
      </c>
      <c r="AM151" s="1251">
        <f t="shared" si="118"/>
        <v>0</v>
      </c>
      <c r="AN151" s="1251">
        <f t="shared" si="119"/>
        <v>24887.087466042816</v>
      </c>
      <c r="AO151" s="1022">
        <f t="shared" si="120"/>
        <v>0</v>
      </c>
    </row>
    <row r="152" spans="1:41">
      <c r="A152" s="89">
        <f>'Input data'!A132</f>
        <v>2032</v>
      </c>
      <c r="B152" s="152">
        <f>'Input data'!B132</f>
        <v>67.08666821358311</v>
      </c>
      <c r="C152" s="204">
        <f>'Input data'!C132</f>
        <v>5536.7385220125598</v>
      </c>
      <c r="D152" s="205">
        <f>'Input data'!D132</f>
        <v>41255345.957373768</v>
      </c>
      <c r="E152" s="473">
        <f>'Input data'!J132*C152</f>
        <v>66612.753782067521</v>
      </c>
      <c r="F152" s="474">
        <f>'Input data'!L132</f>
        <v>107868.0997394413</v>
      </c>
      <c r="G152" s="474">
        <f>G137*(1-E6)</f>
        <v>13687.941669523079</v>
      </c>
      <c r="H152" s="474">
        <f t="shared" si="121"/>
        <v>63251.103424816232</v>
      </c>
      <c r="I152" s="475">
        <f t="shared" si="96"/>
        <v>41255.345957373771</v>
      </c>
      <c r="J152" s="579">
        <f t="shared" ref="J152:J170" si="131">J151</f>
        <v>0.4</v>
      </c>
      <c r="K152" s="474">
        <f t="shared" si="123"/>
        <v>13962.965134311924</v>
      </c>
      <c r="L152" s="474">
        <f t="shared" si="97"/>
        <v>0</v>
      </c>
      <c r="M152" s="475">
        <f t="shared" si="124"/>
        <v>13962.965134311924</v>
      </c>
      <c r="N152" s="579">
        <f t="shared" si="130"/>
        <v>0.5</v>
      </c>
      <c r="O152" s="475">
        <f t="shared" si="98"/>
        <v>751.91700000000026</v>
      </c>
      <c r="P152" s="1234">
        <f t="shared" si="127"/>
        <v>14714.882134311923</v>
      </c>
      <c r="Q152" s="467">
        <f t="shared" si="99"/>
        <v>62224.162960027388</v>
      </c>
      <c r="R152" s="467">
        <f t="shared" si="125"/>
        <v>48536.221290504312</v>
      </c>
      <c r="S152" s="1255">
        <f t="shared" si="100"/>
        <v>1.2953024760386178</v>
      </c>
      <c r="T152" s="118" t="str">
        <f t="shared" si="101"/>
        <v>No</v>
      </c>
      <c r="U152" s="1255">
        <f t="shared" si="102"/>
        <v>1</v>
      </c>
      <c r="V152" s="1268">
        <f t="shared" si="95"/>
        <v>70397.144353838172</v>
      </c>
      <c r="W152" s="1269">
        <f t="shared" si="103"/>
        <v>0.34737754235140295</v>
      </c>
      <c r="X152" s="473">
        <f t="shared" si="104"/>
        <v>24753.207574424261</v>
      </c>
      <c r="Y152" s="474">
        <f t="shared" si="105"/>
        <v>21836.363886437786</v>
      </c>
      <c r="Z152" s="474">
        <f t="shared" si="106"/>
        <v>3762.1138340559442</v>
      </c>
      <c r="AA152" s="474">
        <f t="shared" si="107"/>
        <v>0</v>
      </c>
      <c r="AB152" s="474">
        <f t="shared" si="108"/>
        <v>20045.459058920187</v>
      </c>
      <c r="AC152" s="474">
        <f t="shared" si="109"/>
        <v>70397.144353838172</v>
      </c>
      <c r="AD152" s="475">
        <f t="shared" si="110"/>
        <v>11065.265904901182</v>
      </c>
      <c r="AE152" s="100">
        <f t="shared" si="111"/>
        <v>0.35162232504782948</v>
      </c>
      <c r="AF152" s="100">
        <f t="shared" si="112"/>
        <v>0.31018820559938282</v>
      </c>
      <c r="AG152" s="100">
        <f t="shared" si="113"/>
        <v>5.3441284708174774E-2</v>
      </c>
      <c r="AH152" s="100">
        <f t="shared" si="126"/>
        <v>0</v>
      </c>
      <c r="AI152" s="100">
        <f t="shared" si="114"/>
        <v>0.28474818464461299</v>
      </c>
      <c r="AJ152" s="471">
        <f t="shared" si="115"/>
        <v>1</v>
      </c>
      <c r="AK152" s="1250">
        <f t="shared" si="116"/>
        <v>24753.207574424261</v>
      </c>
      <c r="AL152" s="1251">
        <f t="shared" si="117"/>
        <v>0</v>
      </c>
      <c r="AM152" s="1251">
        <f t="shared" si="118"/>
        <v>0</v>
      </c>
      <c r="AN152" s="1251">
        <f t="shared" si="119"/>
        <v>24753.207574424261</v>
      </c>
      <c r="AO152" s="1022">
        <f t="shared" si="120"/>
        <v>0</v>
      </c>
    </row>
    <row r="153" spans="1:41">
      <c r="A153" s="89">
        <f>'Input data'!A133</f>
        <v>2033</v>
      </c>
      <c r="B153" s="152">
        <f>'Input data'!B133</f>
        <v>67.659204065895452</v>
      </c>
      <c r="C153" s="204">
        <f>'Input data'!C133</f>
        <v>5692.5826618103829</v>
      </c>
      <c r="D153" s="205">
        <f>'Input data'!D133</f>
        <v>40262688.170007341</v>
      </c>
      <c r="E153" s="473">
        <f>'Input data'!J133*C153</f>
        <v>68487.721738646593</v>
      </c>
      <c r="F153" s="474">
        <f>'Input data'!L133</f>
        <v>108750.40990865394</v>
      </c>
      <c r="G153" s="474">
        <f>G152</f>
        <v>13687.941669523079</v>
      </c>
      <c r="H153" s="474">
        <f t="shared" si="121"/>
        <v>63395.411442229524</v>
      </c>
      <c r="I153" s="475">
        <f t="shared" si="96"/>
        <v>40262.688170007343</v>
      </c>
      <c r="J153" s="579">
        <f t="shared" si="131"/>
        <v>0.4</v>
      </c>
      <c r="K153" s="474">
        <f t="shared" si="123"/>
        <v>13626.997861376638</v>
      </c>
      <c r="L153" s="474">
        <f t="shared" si="97"/>
        <v>0</v>
      </c>
      <c r="M153" s="475">
        <f t="shared" si="124"/>
        <v>13626.997861376638</v>
      </c>
      <c r="N153" s="579">
        <f t="shared" si="130"/>
        <v>0.5</v>
      </c>
      <c r="O153" s="475">
        <f t="shared" si="98"/>
        <v>751.91700000000026</v>
      </c>
      <c r="P153" s="1234">
        <f t="shared" si="127"/>
        <v>14378.914861376637</v>
      </c>
      <c r="Q153" s="467">
        <f t="shared" si="99"/>
        <v>62704.438250375963</v>
      </c>
      <c r="R153" s="467">
        <f t="shared" si="125"/>
        <v>49016.49658085288</v>
      </c>
      <c r="S153" s="1255">
        <f t="shared" si="100"/>
        <v>1.2716091698307297</v>
      </c>
      <c r="T153" s="118" t="str">
        <f t="shared" si="101"/>
        <v>No</v>
      </c>
      <c r="U153" s="1255">
        <f t="shared" si="102"/>
        <v>1</v>
      </c>
      <c r="V153" s="1268">
        <f t="shared" si="95"/>
        <v>70203.584560282368</v>
      </c>
      <c r="W153" s="1269">
        <f t="shared" si="103"/>
        <v>0.35445223039388429</v>
      </c>
      <c r="X153" s="473">
        <f t="shared" si="104"/>
        <v>24157.612902004406</v>
      </c>
      <c r="Y153" s="474">
        <f t="shared" si="105"/>
        <v>21589.444720275085</v>
      </c>
      <c r="Z153" s="474">
        <f t="shared" si="106"/>
        <v>3846.8426928164727</v>
      </c>
      <c r="AA153" s="474">
        <f t="shared" si="107"/>
        <v>0</v>
      </c>
      <c r="AB153" s="474">
        <f t="shared" si="108"/>
        <v>20609.68424518641</v>
      </c>
      <c r="AC153" s="474">
        <f t="shared" si="109"/>
        <v>70203.584560282368</v>
      </c>
      <c r="AD153" s="475">
        <f t="shared" si="110"/>
        <v>10469.671232481327</v>
      </c>
      <c r="AE153" s="100">
        <f t="shared" si="111"/>
        <v>0.34410796903483987</v>
      </c>
      <c r="AF153" s="100">
        <f t="shared" si="112"/>
        <v>0.30752624464263184</v>
      </c>
      <c r="AG153" s="100">
        <f t="shared" si="113"/>
        <v>5.4795530981943924E-2</v>
      </c>
      <c r="AH153" s="100">
        <f t="shared" si="126"/>
        <v>0</v>
      </c>
      <c r="AI153" s="100">
        <f t="shared" si="114"/>
        <v>0.29357025534058451</v>
      </c>
      <c r="AJ153" s="471">
        <f t="shared" si="115"/>
        <v>1.0000000000000002</v>
      </c>
      <c r="AK153" s="1250">
        <f t="shared" si="116"/>
        <v>24157.612902004403</v>
      </c>
      <c r="AL153" s="1251">
        <f t="shared" si="117"/>
        <v>0</v>
      </c>
      <c r="AM153" s="1251">
        <f t="shared" si="118"/>
        <v>0</v>
      </c>
      <c r="AN153" s="1251">
        <f t="shared" si="119"/>
        <v>24157.612902004403</v>
      </c>
      <c r="AO153" s="1022">
        <f t="shared" si="120"/>
        <v>0</v>
      </c>
    </row>
    <row r="154" spans="1:41">
      <c r="A154" s="89">
        <f>'Input data'!A134</f>
        <v>2034</v>
      </c>
      <c r="B154" s="152">
        <f>'Input data'!B134</f>
        <v>68.236626094715163</v>
      </c>
      <c r="C154" s="204">
        <f>'Input data'!C134</f>
        <v>5868.7539844737303</v>
      </c>
      <c r="D154" s="205">
        <f>'Input data'!D134</f>
        <v>39656259.723391399</v>
      </c>
      <c r="E154" s="473">
        <f>'Input data'!J134*C154</f>
        <v>70607.24695974536</v>
      </c>
      <c r="F154" s="474">
        <f>'Input data'!L134</f>
        <v>110263.50668313676</v>
      </c>
      <c r="G154" s="474">
        <f t="shared" ref="G154:G170" si="132">G153</f>
        <v>13687.941669523079</v>
      </c>
      <c r="H154" s="474">
        <f t="shared" si="121"/>
        <v>64042.505957456451</v>
      </c>
      <c r="I154" s="475">
        <f t="shared" si="96"/>
        <v>39656.259723391398</v>
      </c>
      <c r="J154" s="579">
        <f t="shared" si="131"/>
        <v>0.4</v>
      </c>
      <c r="K154" s="474">
        <f t="shared" si="123"/>
        <v>13421.750782239251</v>
      </c>
      <c r="L154" s="474">
        <f t="shared" si="97"/>
        <v>0</v>
      </c>
      <c r="M154" s="475">
        <f t="shared" si="124"/>
        <v>13421.750782239251</v>
      </c>
      <c r="N154" s="579">
        <f t="shared" si="130"/>
        <v>0.5</v>
      </c>
      <c r="O154" s="475">
        <f t="shared" si="98"/>
        <v>751.91700000000026</v>
      </c>
      <c r="P154" s="1234">
        <f t="shared" si="127"/>
        <v>14173.66778223925</v>
      </c>
      <c r="Q154" s="467">
        <f t="shared" si="99"/>
        <v>63556.779844740275</v>
      </c>
      <c r="R154" s="467">
        <f t="shared" si="125"/>
        <v>49868.838175217199</v>
      </c>
      <c r="S154" s="1255">
        <f t="shared" si="100"/>
        <v>1.2541510465046863</v>
      </c>
      <c r="T154" s="118" t="str">
        <f t="shared" si="101"/>
        <v>No</v>
      </c>
      <c r="U154" s="1255">
        <f t="shared" si="102"/>
        <v>1</v>
      </c>
      <c r="V154" s="1268">
        <f t="shared" si="95"/>
        <v>70500.482672431332</v>
      </c>
      <c r="W154" s="1269">
        <f t="shared" si="103"/>
        <v>0.36061817011653796</v>
      </c>
      <c r="X154" s="473">
        <f t="shared" si="104"/>
        <v>23793.755834034837</v>
      </c>
      <c r="Y154" s="474">
        <f t="shared" si="105"/>
        <v>21516.600981573767</v>
      </c>
      <c r="Z154" s="474">
        <f t="shared" si="106"/>
        <v>3942.6229713368125</v>
      </c>
      <c r="AA154" s="474">
        <f t="shared" si="107"/>
        <v>0</v>
      </c>
      <c r="AB154" s="474">
        <f t="shared" si="108"/>
        <v>21247.502885485916</v>
      </c>
      <c r="AC154" s="474">
        <f t="shared" si="109"/>
        <v>70500.482672431332</v>
      </c>
      <c r="AD154" s="475">
        <f t="shared" si="110"/>
        <v>10105.814164511758</v>
      </c>
      <c r="AE154" s="100">
        <f t="shared" si="111"/>
        <v>0.33749777210162563</v>
      </c>
      <c r="AF154" s="100">
        <f t="shared" si="112"/>
        <v>0.30519792441063198</v>
      </c>
      <c r="AG154" s="100">
        <f t="shared" si="113"/>
        <v>5.5923347215302753E-2</v>
      </c>
      <c r="AH154" s="100">
        <f t="shared" si="126"/>
        <v>0</v>
      </c>
      <c r="AI154" s="100">
        <f t="shared" si="114"/>
        <v>0.30138095627243966</v>
      </c>
      <c r="AJ154" s="471">
        <f t="shared" si="115"/>
        <v>1</v>
      </c>
      <c r="AK154" s="1250">
        <f t="shared" si="116"/>
        <v>23793.755834034841</v>
      </c>
      <c r="AL154" s="1251">
        <f t="shared" si="117"/>
        <v>0</v>
      </c>
      <c r="AM154" s="1251">
        <f t="shared" si="118"/>
        <v>0</v>
      </c>
      <c r="AN154" s="1251">
        <f t="shared" si="119"/>
        <v>23793.755834034841</v>
      </c>
      <c r="AO154" s="1022">
        <f t="shared" si="120"/>
        <v>0</v>
      </c>
    </row>
    <row r="155" spans="1:41">
      <c r="A155" s="89">
        <f>'Input data'!A135</f>
        <v>2035</v>
      </c>
      <c r="B155" s="152">
        <f>'Input data'!B135</f>
        <v>68.818976000000006</v>
      </c>
      <c r="C155" s="204">
        <f>'Input data'!C135</f>
        <v>6036.7474148806386</v>
      </c>
      <c r="D155" s="205">
        <f>'Input data'!D135</f>
        <v>39791303.809178911</v>
      </c>
      <c r="E155" s="473">
        <f>'Input data'!J135*C155</f>
        <v>72628.383585975738</v>
      </c>
      <c r="F155" s="474">
        <f>'Input data'!L135</f>
        <v>112419.68739515464</v>
      </c>
      <c r="G155" s="474">
        <f t="shared" si="132"/>
        <v>13687.941669523079</v>
      </c>
      <c r="H155" s="474">
        <f t="shared" si="121"/>
        <v>65328.980971250305</v>
      </c>
      <c r="I155" s="475">
        <f t="shared" si="96"/>
        <v>39791.303809178913</v>
      </c>
      <c r="J155" s="579">
        <f t="shared" si="131"/>
        <v>0.4</v>
      </c>
      <c r="K155" s="474">
        <f t="shared" si="123"/>
        <v>13467.456758463384</v>
      </c>
      <c r="L155" s="474">
        <f t="shared" si="97"/>
        <v>0</v>
      </c>
      <c r="M155" s="475">
        <f t="shared" si="124"/>
        <v>13467.456758463384</v>
      </c>
      <c r="N155" s="579">
        <f t="shared" si="130"/>
        <v>0.5</v>
      </c>
      <c r="O155" s="475">
        <f t="shared" si="98"/>
        <v>751.91700000000026</v>
      </c>
      <c r="P155" s="1234">
        <f t="shared" si="127"/>
        <v>14219.373758463384</v>
      </c>
      <c r="Q155" s="467">
        <f t="shared" si="99"/>
        <v>64797.548882309995</v>
      </c>
      <c r="R155" s="467">
        <f t="shared" si="125"/>
        <v>51109.607212786912</v>
      </c>
      <c r="S155" s="1255">
        <f t="shared" si="100"/>
        <v>1.248928444070059</v>
      </c>
      <c r="T155" s="118" t="str">
        <f t="shared" si="101"/>
        <v>No</v>
      </c>
      <c r="U155" s="1255">
        <f t="shared" si="102"/>
        <v>1</v>
      </c>
      <c r="V155" s="1268">
        <f t="shared" si="95"/>
        <v>71496.920798352017</v>
      </c>
      <c r="W155" s="1269">
        <f t="shared" si="103"/>
        <v>0.36401779390258671</v>
      </c>
      <c r="X155" s="473">
        <f t="shared" si="104"/>
        <v>23874.782285507346</v>
      </c>
      <c r="Y155" s="474">
        <f t="shared" si="105"/>
        <v>21732.46748004089</v>
      </c>
      <c r="Z155" s="474">
        <f t="shared" si="106"/>
        <v>4033.9571187491515</v>
      </c>
      <c r="AA155" s="474">
        <f t="shared" si="107"/>
        <v>0</v>
      </c>
      <c r="AB155" s="474">
        <f t="shared" si="108"/>
        <v>21855.713914054621</v>
      </c>
      <c r="AC155" s="474">
        <f t="shared" si="109"/>
        <v>71496.920798352017</v>
      </c>
      <c r="AD155" s="475">
        <f t="shared" si="110"/>
        <v>10186.840615984267</v>
      </c>
      <c r="AE155" s="100">
        <f t="shared" si="111"/>
        <v>0.33392741979536628</v>
      </c>
      <c r="AF155" s="100">
        <f t="shared" si="112"/>
        <v>0.30396368455271738</v>
      </c>
      <c r="AG155" s="100">
        <f t="shared" si="113"/>
        <v>5.642141051257879E-2</v>
      </c>
      <c r="AH155" s="100">
        <f t="shared" si="126"/>
        <v>0</v>
      </c>
      <c r="AI155" s="100">
        <f t="shared" si="114"/>
        <v>0.30568748513933747</v>
      </c>
      <c r="AJ155" s="471">
        <f t="shared" si="115"/>
        <v>1</v>
      </c>
      <c r="AK155" s="1250">
        <f t="shared" si="116"/>
        <v>23874.782285507346</v>
      </c>
      <c r="AL155" s="1251">
        <f t="shared" si="117"/>
        <v>0</v>
      </c>
      <c r="AM155" s="1251">
        <f t="shared" si="118"/>
        <v>0</v>
      </c>
      <c r="AN155" s="1251">
        <f t="shared" si="119"/>
        <v>23874.782285507346</v>
      </c>
      <c r="AO155" s="1022">
        <f t="shared" si="120"/>
        <v>0</v>
      </c>
    </row>
    <row r="156" spans="1:41">
      <c r="A156" s="89">
        <f>'Input data'!A136</f>
        <v>2036</v>
      </c>
      <c r="B156" s="152">
        <f>'Input data'!B136</f>
        <v>69.322810489383542</v>
      </c>
      <c r="C156" s="204">
        <f>'Input data'!C136</f>
        <v>6215.8972497914319</v>
      </c>
      <c r="D156" s="205">
        <f>'Input data'!D136</f>
        <v>39216082.697226301</v>
      </c>
      <c r="E156" s="473">
        <f>'Input data'!J136*C156</f>
        <v>74783.743423823558</v>
      </c>
      <c r="F156" s="474">
        <f>'Input data'!L136</f>
        <v>113999.82612104986</v>
      </c>
      <c r="G156" s="474">
        <f t="shared" si="132"/>
        <v>13687.941669523079</v>
      </c>
      <c r="H156" s="474">
        <f t="shared" si="121"/>
        <v>66025.92423848818</v>
      </c>
      <c r="I156" s="475">
        <f t="shared" si="96"/>
        <v>39216.082697226302</v>
      </c>
      <c r="J156" s="579">
        <f t="shared" si="131"/>
        <v>0.4</v>
      </c>
      <c r="K156" s="474">
        <f>(I156)*J156-(I156)*$J$137</f>
        <v>13272.771872315217</v>
      </c>
      <c r="L156" s="474">
        <f t="shared" si="97"/>
        <v>0</v>
      </c>
      <c r="M156" s="475">
        <f t="shared" si="124"/>
        <v>13272.771872315217</v>
      </c>
      <c r="N156" s="579">
        <f t="shared" si="130"/>
        <v>0.5</v>
      </c>
      <c r="O156" s="475">
        <f t="shared" si="98"/>
        <v>751.91700000000026</v>
      </c>
      <c r="P156" s="1234">
        <f t="shared" si="127"/>
        <v>14024.688872315217</v>
      </c>
      <c r="Q156" s="467">
        <f t="shared" si="99"/>
        <v>65689.177035696033</v>
      </c>
      <c r="R156" s="467">
        <f t="shared" si="125"/>
        <v>52001.235366172958</v>
      </c>
      <c r="S156" s="1255">
        <f t="shared" si="100"/>
        <v>1.2334397122478211</v>
      </c>
      <c r="T156" s="118" t="str">
        <f t="shared" si="101"/>
        <v>No</v>
      </c>
      <c r="U156" s="1255">
        <f t="shared" si="102"/>
        <v>1</v>
      </c>
      <c r="V156" s="1268">
        <f t="shared" si="95"/>
        <v>71840.298703689623</v>
      </c>
      <c r="W156" s="1269">
        <f t="shared" si="103"/>
        <v>0.3698209800126665</v>
      </c>
      <c r="X156" s="473">
        <f t="shared" si="104"/>
        <v>23529.649618335781</v>
      </c>
      <c r="Y156" s="474">
        <f t="shared" si="105"/>
        <v>21674.976244705002</v>
      </c>
      <c r="Z156" s="474">
        <f t="shared" si="106"/>
        <v>4131.3567455738785</v>
      </c>
      <c r="AA156" s="474">
        <f t="shared" si="107"/>
        <v>0</v>
      </c>
      <c r="AB156" s="474">
        <f t="shared" si="108"/>
        <v>22504.316095074952</v>
      </c>
      <c r="AC156" s="474">
        <f t="shared" si="109"/>
        <v>71840.298703689623</v>
      </c>
      <c r="AD156" s="475">
        <f t="shared" si="110"/>
        <v>9841.7079488127019</v>
      </c>
      <c r="AE156" s="100">
        <f t="shared" si="111"/>
        <v>0.32752716849613167</v>
      </c>
      <c r="AF156" s="100">
        <f t="shared" si="112"/>
        <v>0.3017105529322055</v>
      </c>
      <c r="AG156" s="100">
        <f t="shared" si="113"/>
        <v>5.7507510688589294E-2</v>
      </c>
      <c r="AH156" s="100">
        <f t="shared" si="126"/>
        <v>0</v>
      </c>
      <c r="AI156" s="100">
        <f t="shared" si="114"/>
        <v>0.31325476788307338</v>
      </c>
      <c r="AJ156" s="471">
        <f t="shared" si="115"/>
        <v>0.99999999999999978</v>
      </c>
      <c r="AK156" s="1250">
        <f t="shared" si="116"/>
        <v>23529.649618335785</v>
      </c>
      <c r="AL156" s="1251">
        <f t="shared" si="117"/>
        <v>0</v>
      </c>
      <c r="AM156" s="1251">
        <f t="shared" si="118"/>
        <v>0</v>
      </c>
      <c r="AN156" s="1251">
        <f t="shared" si="119"/>
        <v>23529.649618335785</v>
      </c>
      <c r="AO156" s="1022">
        <f t="shared" si="120"/>
        <v>0</v>
      </c>
    </row>
    <row r="157" spans="1:41">
      <c r="A157" s="89">
        <f>'Input data'!A137</f>
        <v>2037</v>
      </c>
      <c r="B157" s="152">
        <f>'Input data'!B137</f>
        <v>69.830333629884052</v>
      </c>
      <c r="C157" s="204">
        <f>'Input data'!C137</f>
        <v>6413.8831516087803</v>
      </c>
      <c r="D157" s="205">
        <f>'Input data'!D137</f>
        <v>38325122.85038393</v>
      </c>
      <c r="E157" s="473">
        <f>'Input data'!J137*C157</f>
        <v>77165.720842053837</v>
      </c>
      <c r="F157" s="474">
        <f>'Input data'!L137</f>
        <v>115490.84369243777</v>
      </c>
      <c r="G157" s="474">
        <f t="shared" si="132"/>
        <v>13687.941669523079</v>
      </c>
      <c r="H157" s="474">
        <f t="shared" si="121"/>
        <v>66556.596557037235</v>
      </c>
      <c r="I157" s="475">
        <f t="shared" si="96"/>
        <v>38325.12285038393</v>
      </c>
      <c r="J157" s="579">
        <f t="shared" si="131"/>
        <v>0.4</v>
      </c>
      <c r="K157" s="474">
        <f t="shared" si="123"/>
        <v>12971.224497330513</v>
      </c>
      <c r="L157" s="474">
        <f t="shared" si="97"/>
        <v>0</v>
      </c>
      <c r="M157" s="475">
        <f t="shared" si="124"/>
        <v>12971.224497330513</v>
      </c>
      <c r="N157" s="579">
        <f t="shared" si="130"/>
        <v>0.5</v>
      </c>
      <c r="O157" s="475">
        <f t="shared" si="98"/>
        <v>751.91700000000026</v>
      </c>
      <c r="P157" s="1234">
        <f t="shared" si="127"/>
        <v>13723.141497330513</v>
      </c>
      <c r="Q157" s="467">
        <f t="shared" si="99"/>
        <v>66521.396729229804</v>
      </c>
      <c r="R157" s="467">
        <f t="shared" si="125"/>
        <v>52833.455059706728</v>
      </c>
      <c r="S157" s="1255">
        <f t="shared" si="100"/>
        <v>1.2138276655403368</v>
      </c>
      <c r="T157" s="118" t="str">
        <f t="shared" si="101"/>
        <v>No</v>
      </c>
      <c r="U157" s="1255">
        <f t="shared" si="102"/>
        <v>1</v>
      </c>
      <c r="V157" s="1268">
        <f t="shared" si="95"/>
        <v>71964.520673438325</v>
      </c>
      <c r="W157" s="1269">
        <f t="shared" si="103"/>
        <v>0.37688115895069452</v>
      </c>
      <c r="X157" s="473">
        <f t="shared" si="104"/>
        <v>22995.073710230357</v>
      </c>
      <c r="Y157" s="474">
        <f t="shared" si="105"/>
        <v>21509.336630014866</v>
      </c>
      <c r="Z157" s="474">
        <f t="shared" si="106"/>
        <v>4238.9971068567629</v>
      </c>
      <c r="AA157" s="474">
        <f t="shared" si="107"/>
        <v>0</v>
      </c>
      <c r="AB157" s="474">
        <f t="shared" si="108"/>
        <v>23221.113226336343</v>
      </c>
      <c r="AC157" s="474">
        <f t="shared" si="109"/>
        <v>71964.520673438325</v>
      </c>
      <c r="AD157" s="475">
        <f t="shared" si="110"/>
        <v>9307.1320407072781</v>
      </c>
      <c r="AE157" s="100">
        <f t="shared" si="111"/>
        <v>0.31953347976258673</v>
      </c>
      <c r="AF157" s="100">
        <f t="shared" si="112"/>
        <v>0.2988880691309021</v>
      </c>
      <c r="AG157" s="100">
        <f t="shared" si="113"/>
        <v>5.8903985841753152E-2</v>
      </c>
      <c r="AH157" s="100">
        <f t="shared" si="126"/>
        <v>0</v>
      </c>
      <c r="AI157" s="100">
        <f t="shared" si="114"/>
        <v>0.32267446526475813</v>
      </c>
      <c r="AJ157" s="471">
        <f t="shared" si="115"/>
        <v>1</v>
      </c>
      <c r="AK157" s="1250">
        <f t="shared" si="116"/>
        <v>22995.073710230361</v>
      </c>
      <c r="AL157" s="1251">
        <f t="shared" si="117"/>
        <v>0</v>
      </c>
      <c r="AM157" s="1251">
        <f t="shared" si="118"/>
        <v>0</v>
      </c>
      <c r="AN157" s="1251">
        <f t="shared" si="119"/>
        <v>22995.073710230361</v>
      </c>
      <c r="AO157" s="1022">
        <f t="shared" si="120"/>
        <v>0</v>
      </c>
    </row>
    <row r="158" spans="1:41">
      <c r="A158" s="89">
        <f>'Input data'!A138</f>
        <v>2038</v>
      </c>
      <c r="B158" s="152">
        <f>'Input data'!B138</f>
        <v>70.341572426693446</v>
      </c>
      <c r="C158" s="204">
        <f>'Input data'!C138</f>
        <v>6601.8179471225203</v>
      </c>
      <c r="D158" s="205">
        <f>'Input data'!D138</f>
        <v>36655559.518641047</v>
      </c>
      <c r="E158" s="473">
        <f>'Input data'!J138*C158</f>
        <v>79426.772941745454</v>
      </c>
      <c r="F158" s="474">
        <f>'Input data'!L138</f>
        <v>116082.3324603865</v>
      </c>
      <c r="G158" s="474">
        <f t="shared" si="132"/>
        <v>13687.941669523079</v>
      </c>
      <c r="H158" s="474">
        <f t="shared" si="121"/>
        <v>66287.198865709492</v>
      </c>
      <c r="I158" s="475">
        <f t="shared" si="96"/>
        <v>36655.55951864105</v>
      </c>
      <c r="J158" s="579">
        <f t="shared" si="131"/>
        <v>0.4</v>
      </c>
      <c r="K158" s="474">
        <f t="shared" si="123"/>
        <v>12406.157012143547</v>
      </c>
      <c r="L158" s="474">
        <f t="shared" si="97"/>
        <v>0</v>
      </c>
      <c r="M158" s="475">
        <f t="shared" si="124"/>
        <v>12406.157012143547</v>
      </c>
      <c r="N158" s="579">
        <f t="shared" si="130"/>
        <v>0.5</v>
      </c>
      <c r="O158" s="475">
        <f t="shared" si="98"/>
        <v>751.91700000000026</v>
      </c>
      <c r="P158" s="1234">
        <f t="shared" si="127"/>
        <v>13158.074012143546</v>
      </c>
      <c r="Q158" s="467">
        <f t="shared" si="99"/>
        <v>66817.066523089015</v>
      </c>
      <c r="R158" s="467">
        <f t="shared" si="125"/>
        <v>53129.12485356594</v>
      </c>
      <c r="S158" s="1255">
        <f t="shared" si="100"/>
        <v>1.1852901106450466</v>
      </c>
      <c r="T158" s="118" t="str">
        <f t="shared" si="101"/>
        <v>No</v>
      </c>
      <c r="U158" s="1255">
        <f t="shared" si="102"/>
        <v>1</v>
      </c>
      <c r="V158" s="1268">
        <f t="shared" si="95"/>
        <v>71258.601648482116</v>
      </c>
      <c r="W158" s="1269">
        <f t="shared" si="103"/>
        <v>0.38613740663076912</v>
      </c>
      <c r="X158" s="473">
        <f t="shared" si="104"/>
        <v>21993.335711184631</v>
      </c>
      <c r="Y158" s="474">
        <f t="shared" si="105"/>
        <v>21022.572146631192</v>
      </c>
      <c r="Z158" s="474">
        <f t="shared" si="106"/>
        <v>4341.1729138260207</v>
      </c>
      <c r="AA158" s="474">
        <f t="shared" si="107"/>
        <v>0</v>
      </c>
      <c r="AB158" s="474">
        <f t="shared" si="108"/>
        <v>23901.520876840281</v>
      </c>
      <c r="AC158" s="474">
        <f t="shared" si="109"/>
        <v>71258.601648482116</v>
      </c>
      <c r="AD158" s="475">
        <f t="shared" si="110"/>
        <v>8305.3940416615515</v>
      </c>
      <c r="AE158" s="100">
        <f t="shared" si="111"/>
        <v>0.30864113527904335</v>
      </c>
      <c r="AF158" s="100">
        <f t="shared" si="112"/>
        <v>0.29501802814396083</v>
      </c>
      <c r="AG158" s="100">
        <f t="shared" si="113"/>
        <v>6.0921387922274674E-2</v>
      </c>
      <c r="AH158" s="100">
        <f t="shared" si="126"/>
        <v>0</v>
      </c>
      <c r="AI158" s="100">
        <f t="shared" si="114"/>
        <v>0.33541944865472123</v>
      </c>
      <c r="AJ158" s="471">
        <f t="shared" si="115"/>
        <v>1</v>
      </c>
      <c r="AK158" s="1250">
        <f t="shared" si="116"/>
        <v>21993.335711184631</v>
      </c>
      <c r="AL158" s="1251">
        <f t="shared" si="117"/>
        <v>0</v>
      </c>
      <c r="AM158" s="1251">
        <f t="shared" si="118"/>
        <v>0</v>
      </c>
      <c r="AN158" s="1251">
        <f t="shared" si="119"/>
        <v>21993.335711184631</v>
      </c>
      <c r="AO158" s="1022">
        <f t="shared" si="120"/>
        <v>0</v>
      </c>
    </row>
    <row r="159" spans="1:41">
      <c r="A159" s="89">
        <f>'Input data'!A139</f>
        <v>2039</v>
      </c>
      <c r="B159" s="152">
        <f>'Input data'!B139</f>
        <v>70.856554082712819</v>
      </c>
      <c r="C159" s="204">
        <f>'Input data'!C139</f>
        <v>6791.0078131349956</v>
      </c>
      <c r="D159" s="205">
        <f>'Input data'!D139</f>
        <v>34985996.186898179</v>
      </c>
      <c r="E159" s="473">
        <f>'Input data'!J139*C159</f>
        <v>81702.924851872231</v>
      </c>
      <c r="F159" s="474">
        <f>'Input data'!L139</f>
        <v>116688.92103877041</v>
      </c>
      <c r="G159" s="474">
        <f t="shared" si="132"/>
        <v>13687.941669523079</v>
      </c>
      <c r="H159" s="474">
        <f t="shared" si="121"/>
        <v>66026.465553116155</v>
      </c>
      <c r="I159" s="475">
        <f t="shared" si="96"/>
        <v>34985.996186898177</v>
      </c>
      <c r="J159" s="579">
        <f t="shared" si="131"/>
        <v>0.4</v>
      </c>
      <c r="K159" s="474">
        <f t="shared" si="123"/>
        <v>11841.089526956583</v>
      </c>
      <c r="L159" s="474">
        <f t="shared" si="97"/>
        <v>0</v>
      </c>
      <c r="M159" s="475">
        <f t="shared" si="124"/>
        <v>11841.089526956583</v>
      </c>
      <c r="N159" s="579">
        <f t="shared" si="130"/>
        <v>0.5</v>
      </c>
      <c r="O159" s="475">
        <f t="shared" si="98"/>
        <v>751.91700000000026</v>
      </c>
      <c r="P159" s="1234">
        <f t="shared" si="127"/>
        <v>12593.006526956582</v>
      </c>
      <c r="Q159" s="467">
        <f t="shared" si="99"/>
        <v>67121.400695682649</v>
      </c>
      <c r="R159" s="467">
        <f t="shared" si="125"/>
        <v>53433.459026159573</v>
      </c>
      <c r="S159" s="1255">
        <f t="shared" si="100"/>
        <v>1.1583283597638887</v>
      </c>
      <c r="T159" s="118" t="str">
        <f t="shared" si="101"/>
        <v>No</v>
      </c>
      <c r="U159" s="1255">
        <f t="shared" si="102"/>
        <v>1</v>
      </c>
      <c r="V159" s="1268">
        <f t="shared" si="95"/>
        <v>70559.118055226674</v>
      </c>
      <c r="W159" s="1269">
        <f t="shared" si="103"/>
        <v>0.39532290274769877</v>
      </c>
      <c r="X159" s="473">
        <f t="shared" si="104"/>
        <v>20991.597712138904</v>
      </c>
      <c r="Y159" s="474">
        <f t="shared" si="105"/>
        <v>20537.016827999734</v>
      </c>
      <c r="Z159" s="474">
        <f t="shared" si="106"/>
        <v>4444.0310736329275</v>
      </c>
      <c r="AA159" s="474">
        <f t="shared" si="107"/>
        <v>0</v>
      </c>
      <c r="AB159" s="474">
        <f t="shared" si="108"/>
        <v>24586.472441455106</v>
      </c>
      <c r="AC159" s="474">
        <f t="shared" si="109"/>
        <v>70559.118055226674</v>
      </c>
      <c r="AD159" s="475">
        <f t="shared" si="110"/>
        <v>7303.6560426158248</v>
      </c>
      <c r="AE159" s="100">
        <f t="shared" si="111"/>
        <v>0.29750368613888806</v>
      </c>
      <c r="AF159" s="100">
        <f t="shared" si="112"/>
        <v>0.29106113276423601</v>
      </c>
      <c r="AG159" s="100">
        <f t="shared" si="113"/>
        <v>6.2983087035676677E-2</v>
      </c>
      <c r="AH159" s="100">
        <f t="shared" si="126"/>
        <v>0</v>
      </c>
      <c r="AI159" s="100">
        <f t="shared" si="114"/>
        <v>0.3484520940611992</v>
      </c>
      <c r="AJ159" s="471">
        <f t="shared" si="115"/>
        <v>1</v>
      </c>
      <c r="AK159" s="1250">
        <f t="shared" si="116"/>
        <v>20991.597712138908</v>
      </c>
      <c r="AL159" s="1251">
        <f t="shared" si="117"/>
        <v>0</v>
      </c>
      <c r="AM159" s="1251">
        <f t="shared" si="118"/>
        <v>0</v>
      </c>
      <c r="AN159" s="1251">
        <f t="shared" si="119"/>
        <v>20991.597712138908</v>
      </c>
      <c r="AO159" s="1022">
        <f t="shared" si="120"/>
        <v>0</v>
      </c>
    </row>
    <row r="160" spans="1:41">
      <c r="A160" s="89">
        <f>'Input data'!A140</f>
        <v>2040</v>
      </c>
      <c r="B160" s="152">
        <f>'Input data'!B140</f>
        <v>71.375305999999995</v>
      </c>
      <c r="C160" s="204">
        <f>'Input data'!C140</f>
        <v>6984.5262976576987</v>
      </c>
      <c r="D160" s="205">
        <f>'Input data'!D140</f>
        <v>33316432.855155304</v>
      </c>
      <c r="E160" s="473">
        <f>'Input data'!J140*C160</f>
        <v>84031.154568796614</v>
      </c>
      <c r="F160" s="474">
        <f>'Input data'!L140</f>
        <v>117347.58742395192</v>
      </c>
      <c r="G160" s="474">
        <f t="shared" si="132"/>
        <v>13687.941669523079</v>
      </c>
      <c r="H160" s="474">
        <f t="shared" si="121"/>
        <v>65795.614856843706</v>
      </c>
      <c r="I160" s="475">
        <f t="shared" si="96"/>
        <v>33316.432855155304</v>
      </c>
      <c r="J160" s="579">
        <f t="shared" si="131"/>
        <v>0.4</v>
      </c>
      <c r="K160" s="474">
        <f t="shared" si="123"/>
        <v>11276.02204176962</v>
      </c>
      <c r="L160" s="474">
        <f t="shared" si="97"/>
        <v>0</v>
      </c>
      <c r="M160" s="475">
        <f t="shared" si="124"/>
        <v>11276.02204176962</v>
      </c>
      <c r="N160" s="579">
        <f t="shared" si="130"/>
        <v>0.5</v>
      </c>
      <c r="O160" s="475">
        <f t="shared" si="98"/>
        <v>751.91700000000026</v>
      </c>
      <c r="P160" s="1234">
        <f t="shared" si="127"/>
        <v>12027.93904176962</v>
      </c>
      <c r="Q160" s="467">
        <f t="shared" si="99"/>
        <v>67455.617484597169</v>
      </c>
      <c r="R160" s="467">
        <f t="shared" si="125"/>
        <v>53767.675815074093</v>
      </c>
      <c r="S160" s="1255">
        <f t="shared" si="100"/>
        <v>1.132767669567333</v>
      </c>
      <c r="T160" s="118" t="str">
        <f t="shared" si="101"/>
        <v>No</v>
      </c>
      <c r="U160" s="1255">
        <f t="shared" si="102"/>
        <v>1</v>
      </c>
      <c r="V160" s="1268">
        <f t="shared" si="95"/>
        <v>69881.829652447952</v>
      </c>
      <c r="W160" s="1269">
        <f t="shared" si="103"/>
        <v>0.4044885695009669</v>
      </c>
      <c r="X160" s="473">
        <f t="shared" si="104"/>
        <v>19989.859713093181</v>
      </c>
      <c r="Y160" s="474">
        <f t="shared" si="105"/>
        <v>20055.63180333472</v>
      </c>
      <c r="Z160" s="474">
        <f t="shared" si="106"/>
        <v>4549.242603331425</v>
      </c>
      <c r="AA160" s="474">
        <f t="shared" si="107"/>
        <v>0</v>
      </c>
      <c r="AB160" s="474">
        <f t="shared" si="108"/>
        <v>25287.095532688621</v>
      </c>
      <c r="AC160" s="474">
        <f t="shared" si="109"/>
        <v>69881.829652447952</v>
      </c>
      <c r="AD160" s="475">
        <f t="shared" si="110"/>
        <v>6301.9180435701019</v>
      </c>
      <c r="AE160" s="100">
        <f t="shared" si="111"/>
        <v>0.28605232307899281</v>
      </c>
      <c r="AF160" s="100">
        <f t="shared" si="112"/>
        <v>0.28699351323627192</v>
      </c>
      <c r="AG160" s="100">
        <f t="shared" si="113"/>
        <v>6.5099076912507048E-2</v>
      </c>
      <c r="AH160" s="100">
        <f t="shared" si="126"/>
        <v>0</v>
      </c>
      <c r="AI160" s="100">
        <f t="shared" si="114"/>
        <v>0.36185508677222816</v>
      </c>
      <c r="AJ160" s="471">
        <f t="shared" si="115"/>
        <v>1</v>
      </c>
      <c r="AK160" s="1250">
        <f t="shared" si="116"/>
        <v>19989.859713093181</v>
      </c>
      <c r="AL160" s="1251">
        <f t="shared" si="117"/>
        <v>0</v>
      </c>
      <c r="AM160" s="1251">
        <f t="shared" si="118"/>
        <v>0</v>
      </c>
      <c r="AN160" s="1251">
        <f t="shared" si="119"/>
        <v>19989.859713093181</v>
      </c>
      <c r="AO160" s="1022">
        <f t="shared" si="120"/>
        <v>0</v>
      </c>
    </row>
    <row r="161" spans="1:41">
      <c r="A161" s="89">
        <f>'Input data'!A141</f>
        <v>2041</v>
      </c>
      <c r="B161" s="152">
        <f>'Input data'!B141</f>
        <v>71.818612994947316</v>
      </c>
      <c r="C161" s="204">
        <f>'Input data'!C141</f>
        <v>7185.3982187188903</v>
      </c>
      <c r="D161" s="205">
        <f>'Input data'!D141</f>
        <v>30696987.018642712</v>
      </c>
      <c r="E161" s="473">
        <f>'Input data'!J141*C161</f>
        <v>86447.853816229443</v>
      </c>
      <c r="F161" s="474">
        <f>'Input data'!L141</f>
        <v>117144.84083487216</v>
      </c>
      <c r="G161" s="474">
        <f t="shared" si="132"/>
        <v>13687.941669523079</v>
      </c>
      <c r="H161" s="474">
        <f t="shared" si="121"/>
        <v>64724.109222386993</v>
      </c>
      <c r="I161" s="475">
        <f t="shared" si="96"/>
        <v>30696.987018642711</v>
      </c>
      <c r="J161" s="579">
        <f t="shared" si="131"/>
        <v>0.4</v>
      </c>
      <c r="K161" s="474">
        <f t="shared" si="123"/>
        <v>10389.464674774455</v>
      </c>
      <c r="L161" s="474">
        <f t="shared" si="97"/>
        <v>0</v>
      </c>
      <c r="M161" s="475">
        <f t="shared" si="124"/>
        <v>10389.464674774455</v>
      </c>
      <c r="N161" s="579">
        <f t="shared" si="130"/>
        <v>0.5</v>
      </c>
      <c r="O161" s="475">
        <f t="shared" si="98"/>
        <v>751.91700000000026</v>
      </c>
      <c r="P161" s="1234">
        <f t="shared" si="127"/>
        <v>11141.381674774455</v>
      </c>
      <c r="Q161" s="467">
        <f t="shared" si="99"/>
        <v>67270.669217135612</v>
      </c>
      <c r="R161" s="467">
        <f t="shared" si="125"/>
        <v>53582.727547612536</v>
      </c>
      <c r="S161" s="1255">
        <f t="shared" si="100"/>
        <v>1.0968272405324797</v>
      </c>
      <c r="T161" s="118" t="str">
        <f t="shared" si="101"/>
        <v>No</v>
      </c>
      <c r="U161" s="1255">
        <f t="shared" si="102"/>
        <v>1</v>
      </c>
      <c r="V161" s="1268">
        <f t="shared" si="95"/>
        <v>68292.363828922185</v>
      </c>
      <c r="W161" s="1269">
        <f t="shared" si="103"/>
        <v>0.41702627838995165</v>
      </c>
      <c r="X161" s="473">
        <f t="shared" si="104"/>
        <v>18418.192211185626</v>
      </c>
      <c r="Y161" s="474">
        <f t="shared" si="105"/>
        <v>19201.378252318307</v>
      </c>
      <c r="Z161" s="474">
        <f t="shared" si="106"/>
        <v>4658.452026609255</v>
      </c>
      <c r="AA161" s="474">
        <f t="shared" si="107"/>
        <v>0</v>
      </c>
      <c r="AB161" s="474">
        <f t="shared" si="108"/>
        <v>26014.341338808998</v>
      </c>
      <c r="AC161" s="474">
        <f t="shared" si="109"/>
        <v>68292.363828922185</v>
      </c>
      <c r="AD161" s="475">
        <f t="shared" si="110"/>
        <v>4730.2505416625463</v>
      </c>
      <c r="AE161" s="100">
        <f t="shared" si="111"/>
        <v>0.26969621753501849</v>
      </c>
      <c r="AF161" s="100">
        <f t="shared" si="112"/>
        <v>0.2811643524365226</v>
      </c>
      <c r="AG161" s="100">
        <f t="shared" si="113"/>
        <v>6.8213366259792213E-2</v>
      </c>
      <c r="AH161" s="100">
        <f t="shared" si="126"/>
        <v>0</v>
      </c>
      <c r="AI161" s="100">
        <f t="shared" si="114"/>
        <v>0.38092606376866667</v>
      </c>
      <c r="AJ161" s="471">
        <f t="shared" si="115"/>
        <v>1</v>
      </c>
      <c r="AK161" s="1250">
        <f t="shared" si="116"/>
        <v>18418.192211185626</v>
      </c>
      <c r="AL161" s="1251">
        <f t="shared" si="117"/>
        <v>0</v>
      </c>
      <c r="AM161" s="1251">
        <f t="shared" si="118"/>
        <v>0</v>
      </c>
      <c r="AN161" s="1251">
        <f t="shared" si="119"/>
        <v>18418.192211185626</v>
      </c>
      <c r="AO161" s="1022">
        <f t="shared" si="120"/>
        <v>0</v>
      </c>
    </row>
    <row r="162" spans="1:41">
      <c r="A162" s="89">
        <f>'Input data'!A142</f>
        <v>2042</v>
      </c>
      <c r="B162" s="152">
        <f>'Input data'!B142</f>
        <v>72.264673338395411</v>
      </c>
      <c r="C162" s="204">
        <f>'Input data'!C142</f>
        <v>7378.5415978844649</v>
      </c>
      <c r="D162" s="205">
        <f>'Input data'!D142</f>
        <v>28077541.182130113</v>
      </c>
      <c r="E162" s="473">
        <f>'Input data'!J142*C162</f>
        <v>88771.570623487351</v>
      </c>
      <c r="F162" s="474">
        <f>'Input data'!L142</f>
        <v>116849.11180561746</v>
      </c>
      <c r="G162" s="474">
        <f t="shared" si="132"/>
        <v>13687.941669523079</v>
      </c>
      <c r="H162" s="474">
        <f t="shared" si="121"/>
        <v>63599.249601747128</v>
      </c>
      <c r="I162" s="475">
        <f t="shared" si="96"/>
        <v>28077.541182130113</v>
      </c>
      <c r="J162" s="579">
        <f t="shared" si="131"/>
        <v>0.4</v>
      </c>
      <c r="K162" s="474">
        <f t="shared" si="123"/>
        <v>9502.9073077792909</v>
      </c>
      <c r="L162" s="474">
        <f t="shared" si="97"/>
        <v>0</v>
      </c>
      <c r="M162" s="475">
        <f t="shared" si="124"/>
        <v>9502.9073077792909</v>
      </c>
      <c r="N162" s="579">
        <f t="shared" si="130"/>
        <v>0.5</v>
      </c>
      <c r="O162" s="475">
        <f t="shared" si="98"/>
        <v>751.91700000000026</v>
      </c>
      <c r="P162" s="1234">
        <f t="shared" si="127"/>
        <v>10254.82430777929</v>
      </c>
      <c r="Q162" s="467">
        <f t="shared" si="99"/>
        <v>67032.366963490917</v>
      </c>
      <c r="R162" s="467">
        <f t="shared" si="125"/>
        <v>53344.425293967841</v>
      </c>
      <c r="S162" s="1255">
        <f t="shared" si="100"/>
        <v>1.0629377309990218</v>
      </c>
      <c r="T162" s="118" t="str">
        <f t="shared" si="101"/>
        <v>No</v>
      </c>
      <c r="U162" s="1255">
        <f t="shared" si="102"/>
        <v>1</v>
      </c>
      <c r="V162" s="1268">
        <f t="shared" si="95"/>
        <v>66663.269551404621</v>
      </c>
      <c r="W162" s="1269">
        <f t="shared" si="103"/>
        <v>0.42949271482438589</v>
      </c>
      <c r="X162" s="473">
        <f t="shared" si="104"/>
        <v>16846.524709278066</v>
      </c>
      <c r="Y162" s="474">
        <f t="shared" si="105"/>
        <v>18339.678840327881</v>
      </c>
      <c r="Z162" s="474">
        <f t="shared" si="106"/>
        <v>4763.4596201901322</v>
      </c>
      <c r="AA162" s="474">
        <f t="shared" si="107"/>
        <v>0</v>
      </c>
      <c r="AB162" s="474">
        <f t="shared" si="108"/>
        <v>26713.606381608544</v>
      </c>
      <c r="AC162" s="474">
        <f t="shared" si="109"/>
        <v>66663.269551404621</v>
      </c>
      <c r="AD162" s="475">
        <f t="shared" si="110"/>
        <v>3158.5830397549871</v>
      </c>
      <c r="AE162" s="100">
        <f t="shared" si="111"/>
        <v>0.25271074795225229</v>
      </c>
      <c r="AF162" s="100">
        <f t="shared" si="112"/>
        <v>0.27510920126991367</v>
      </c>
      <c r="AG162" s="100">
        <f t="shared" si="113"/>
        <v>7.1455535443202156E-2</v>
      </c>
      <c r="AH162" s="100">
        <f t="shared" si="126"/>
        <v>0</v>
      </c>
      <c r="AI162" s="100">
        <f t="shared" si="114"/>
        <v>0.40072451533463194</v>
      </c>
      <c r="AJ162" s="471">
        <f t="shared" si="115"/>
        <v>1</v>
      </c>
      <c r="AK162" s="1250">
        <f t="shared" si="116"/>
        <v>16846.524709278063</v>
      </c>
      <c r="AL162" s="1251">
        <f t="shared" si="117"/>
        <v>0</v>
      </c>
      <c r="AM162" s="1251">
        <f t="shared" si="118"/>
        <v>0</v>
      </c>
      <c r="AN162" s="1251">
        <f t="shared" si="119"/>
        <v>16846.524709278063</v>
      </c>
      <c r="AO162" s="1022">
        <f t="shared" si="120"/>
        <v>0</v>
      </c>
    </row>
    <row r="163" spans="1:41">
      <c r="A163" s="89">
        <f>'Input data'!A143</f>
        <v>2043</v>
      </c>
      <c r="B163" s="152">
        <f>'Input data'!B143</f>
        <v>72.713504131197794</v>
      </c>
      <c r="C163" s="204">
        <f>'Input data'!C143</f>
        <v>7577.166622606117</v>
      </c>
      <c r="D163" s="205">
        <f>'Input data'!D143</f>
        <v>25458095.345617522</v>
      </c>
      <c r="E163" s="473">
        <f>'Input data'!J143*C163</f>
        <v>91161.237358540457</v>
      </c>
      <c r="F163" s="474">
        <f>'Input data'!L143</f>
        <v>116619.33270415798</v>
      </c>
      <c r="G163" s="474">
        <f t="shared" si="132"/>
        <v>13687.941669523079</v>
      </c>
      <c r="H163" s="474">
        <f t="shared" si="121"/>
        <v>62512.232519222482</v>
      </c>
      <c r="I163" s="475">
        <f t="shared" si="96"/>
        <v>25458.095345617523</v>
      </c>
      <c r="J163" s="579">
        <f t="shared" si="131"/>
        <v>0.4</v>
      </c>
      <c r="K163" s="474">
        <f t="shared" si="123"/>
        <v>8616.3499407841264</v>
      </c>
      <c r="L163" s="474">
        <f t="shared" si="97"/>
        <v>0</v>
      </c>
      <c r="M163" s="475">
        <f t="shared" si="124"/>
        <v>8616.3499407841264</v>
      </c>
      <c r="N163" s="579">
        <f t="shared" si="130"/>
        <v>0.5</v>
      </c>
      <c r="O163" s="475">
        <f t="shared" si="98"/>
        <v>751.91700000000026</v>
      </c>
      <c r="P163" s="1234">
        <f t="shared" si="127"/>
        <v>9368.2669407841258</v>
      </c>
      <c r="Q163" s="467">
        <f t="shared" si="99"/>
        <v>66831.907247961426</v>
      </c>
      <c r="R163" s="467">
        <f t="shared" si="125"/>
        <v>53143.96557843835</v>
      </c>
      <c r="S163" s="1255">
        <f t="shared" si="100"/>
        <v>1.0307797970713619</v>
      </c>
      <c r="T163" s="118" t="str">
        <f t="shared" si="101"/>
        <v>No</v>
      </c>
      <c r="U163" s="1255">
        <f t="shared" si="102"/>
        <v>1</v>
      </c>
      <c r="V163" s="1268">
        <f t="shared" si="95"/>
        <v>65062.282663567079</v>
      </c>
      <c r="W163" s="1269">
        <f t="shared" si="103"/>
        <v>0.44209693920459781</v>
      </c>
      <c r="X163" s="473">
        <f t="shared" si="104"/>
        <v>15274.857207370513</v>
      </c>
      <c r="Y163" s="474">
        <f t="shared" si="105"/>
        <v>17483.260575967972</v>
      </c>
      <c r="Z163" s="474">
        <f t="shared" si="106"/>
        <v>4871.4474578321506</v>
      </c>
      <c r="AA163" s="474">
        <f t="shared" si="107"/>
        <v>0</v>
      </c>
      <c r="AB163" s="474">
        <f t="shared" si="108"/>
        <v>27432.717422396443</v>
      </c>
      <c r="AC163" s="474">
        <f t="shared" si="109"/>
        <v>65062.282663567079</v>
      </c>
      <c r="AD163" s="475">
        <f t="shared" si="110"/>
        <v>1586.9155378474334</v>
      </c>
      <c r="AE163" s="100">
        <f t="shared" si="111"/>
        <v>0.23477284506533266</v>
      </c>
      <c r="AF163" s="100">
        <f t="shared" si="112"/>
        <v>0.26871575758220473</v>
      </c>
      <c r="AG163" s="100">
        <f t="shared" si="113"/>
        <v>7.4873602007204318E-2</v>
      </c>
      <c r="AH163" s="100">
        <f t="shared" si="126"/>
        <v>0</v>
      </c>
      <c r="AI163" s="100">
        <f t="shared" si="114"/>
        <v>0.4216377953452583</v>
      </c>
      <c r="AJ163" s="471">
        <f t="shared" si="115"/>
        <v>1</v>
      </c>
      <c r="AK163" s="1250">
        <f t="shared" si="116"/>
        <v>15274.857207370515</v>
      </c>
      <c r="AL163" s="1251">
        <f t="shared" si="117"/>
        <v>0</v>
      </c>
      <c r="AM163" s="1251">
        <f t="shared" si="118"/>
        <v>0</v>
      </c>
      <c r="AN163" s="1251">
        <f t="shared" si="119"/>
        <v>15274.857207370515</v>
      </c>
      <c r="AO163" s="1022">
        <f t="shared" si="120"/>
        <v>0</v>
      </c>
    </row>
    <row r="164" spans="1:41">
      <c r="A164" s="89">
        <f>'Input data'!A144</f>
        <v>2044</v>
      </c>
      <c r="B164" s="152">
        <f>'Input data'!B144</f>
        <v>73.165122580420132</v>
      </c>
      <c r="C164" s="204">
        <f>'Input data'!C144</f>
        <v>7783.6023406905715</v>
      </c>
      <c r="D164" s="205">
        <f>'Input data'!D144</f>
        <v>22838649.509104934</v>
      </c>
      <c r="E164" s="473">
        <f>'Input data'!J144*C164</f>
        <v>93644.874901818475</v>
      </c>
      <c r="F164" s="474">
        <f>'Input data'!L144</f>
        <v>116483.5244109234</v>
      </c>
      <c r="G164" s="474">
        <f t="shared" si="132"/>
        <v>13687.941669523079</v>
      </c>
      <c r="H164" s="474">
        <f t="shared" si="121"/>
        <v>61479.136555504956</v>
      </c>
      <c r="I164" s="475">
        <f t="shared" si="96"/>
        <v>22838.649509104933</v>
      </c>
      <c r="J164" s="579">
        <f t="shared" si="131"/>
        <v>0.4</v>
      </c>
      <c r="K164" s="474">
        <f t="shared" si="123"/>
        <v>7729.7925737889636</v>
      </c>
      <c r="L164" s="474">
        <f t="shared" si="97"/>
        <v>0</v>
      </c>
      <c r="M164" s="475">
        <f t="shared" si="124"/>
        <v>7729.7925737889636</v>
      </c>
      <c r="N164" s="579">
        <f t="shared" si="130"/>
        <v>0.5</v>
      </c>
      <c r="O164" s="475">
        <f t="shared" si="98"/>
        <v>751.91700000000026</v>
      </c>
      <c r="P164" s="1234">
        <f t="shared" si="127"/>
        <v>8481.7095737889631</v>
      </c>
      <c r="Q164" s="467">
        <f t="shared" si="99"/>
        <v>66685.36865123907</v>
      </c>
      <c r="R164" s="467">
        <f t="shared" si="125"/>
        <v>52997.426981715995</v>
      </c>
      <c r="S164" s="1255">
        <f t="shared" si="100"/>
        <v>1.000287795561513</v>
      </c>
      <c r="T164" s="118" t="str">
        <f t="shared" si="101"/>
        <v>No</v>
      </c>
      <c r="U164" s="1255">
        <f t="shared" si="102"/>
        <v>1</v>
      </c>
      <c r="V164" s="1268">
        <f t="shared" si="95"/>
        <v>63501.345465147315</v>
      </c>
      <c r="W164" s="1269">
        <f t="shared" si="103"/>
        <v>0.45484697697563492</v>
      </c>
      <c r="X164" s="473">
        <f t="shared" si="104"/>
        <v>13703.189705462959</v>
      </c>
      <c r="Y164" s="474">
        <f t="shared" si="105"/>
        <v>16634.367319258348</v>
      </c>
      <c r="Z164" s="474">
        <f t="shared" si="106"/>
        <v>4983.6817890261063</v>
      </c>
      <c r="AA164" s="474">
        <f t="shared" si="107"/>
        <v>0</v>
      </c>
      <c r="AB164" s="474">
        <f t="shared" si="108"/>
        <v>28180.106651399903</v>
      </c>
      <c r="AC164" s="474">
        <f t="shared" si="109"/>
        <v>63501.345465147315</v>
      </c>
      <c r="AD164" s="475">
        <f t="shared" si="110"/>
        <v>15.248035939879628</v>
      </c>
      <c r="AE164" s="100">
        <f t="shared" si="111"/>
        <v>0.21579369074918181</v>
      </c>
      <c r="AF164" s="100">
        <f t="shared" si="112"/>
        <v>0.26195299008881812</v>
      </c>
      <c r="AG164" s="100">
        <f t="shared" si="113"/>
        <v>7.8481514880049244E-2</v>
      </c>
      <c r="AH164" s="100">
        <f t="shared" si="126"/>
        <v>0</v>
      </c>
      <c r="AI164" s="100">
        <f t="shared" si="114"/>
        <v>0.4437718042819509</v>
      </c>
      <c r="AJ164" s="471">
        <f t="shared" si="115"/>
        <v>1</v>
      </c>
      <c r="AK164" s="1250">
        <f t="shared" si="116"/>
        <v>13703.189705462959</v>
      </c>
      <c r="AL164" s="1251">
        <f t="shared" si="117"/>
        <v>0</v>
      </c>
      <c r="AM164" s="1251">
        <f t="shared" si="118"/>
        <v>0</v>
      </c>
      <c r="AN164" s="1251">
        <f t="shared" si="119"/>
        <v>13703.189705462959</v>
      </c>
      <c r="AO164" s="1022">
        <f t="shared" si="120"/>
        <v>0</v>
      </c>
    </row>
    <row r="165" spans="1:41">
      <c r="A165" s="89">
        <f>'Input data'!A145</f>
        <v>2045</v>
      </c>
      <c r="B165" s="152">
        <f>'Input data'!B145</f>
        <v>73.619545999999971</v>
      </c>
      <c r="C165" s="204">
        <f>'Input data'!C145</f>
        <v>7997.9247065980107</v>
      </c>
      <c r="D165" s="205">
        <f>'Input data'!D145</f>
        <v>20219203.672592338</v>
      </c>
      <c r="E165" s="473">
        <f>'Input data'!J145*C165</f>
        <v>96223.397064897435</v>
      </c>
      <c r="F165" s="474">
        <f>'Input data'!L145</f>
        <v>116442.60073748977</v>
      </c>
      <c r="G165" s="474">
        <f t="shared" si="132"/>
        <v>13687.941669523079</v>
      </c>
      <c r="H165" s="474">
        <f t="shared" si="121"/>
        <v>60500.486062182972</v>
      </c>
      <c r="I165" s="475">
        <f t="shared" si="96"/>
        <v>20219.203672592339</v>
      </c>
      <c r="J165" s="579">
        <f t="shared" si="131"/>
        <v>0.4</v>
      </c>
      <c r="K165" s="474">
        <f t="shared" si="123"/>
        <v>6843.2352067937991</v>
      </c>
      <c r="L165" s="474">
        <f t="shared" si="97"/>
        <v>0</v>
      </c>
      <c r="M165" s="475">
        <f t="shared" si="124"/>
        <v>6843.2352067937991</v>
      </c>
      <c r="N165" s="579">
        <f t="shared" si="130"/>
        <v>0.5</v>
      </c>
      <c r="O165" s="475">
        <f t="shared" si="98"/>
        <v>751.91700000000026</v>
      </c>
      <c r="P165" s="1234">
        <f t="shared" si="127"/>
        <v>7595.1522067937995</v>
      </c>
      <c r="Q165" s="467">
        <f t="shared" si="99"/>
        <v>66593.275524912242</v>
      </c>
      <c r="R165" s="467">
        <f t="shared" si="125"/>
        <v>52905.333855389166</v>
      </c>
      <c r="S165" s="1255">
        <f t="shared" si="100"/>
        <v>0.97142178921813505</v>
      </c>
      <c r="T165" s="118" t="str">
        <f t="shared" si="101"/>
        <v>Yes</v>
      </c>
      <c r="U165" s="1255">
        <f t="shared" si="102"/>
        <v>0.97142178921813505</v>
      </c>
      <c r="V165" s="1268">
        <f t="shared" si="95"/>
        <v>63537.266882100608</v>
      </c>
      <c r="W165" s="1269">
        <f t="shared" si="103"/>
        <v>0.45434689297828268</v>
      </c>
      <c r="X165" s="473">
        <f t="shared" si="104"/>
        <v>13687.941669523074</v>
      </c>
      <c r="Y165" s="474">
        <f t="shared" si="105"/>
        <v>15793.072246531434</v>
      </c>
      <c r="Z165" s="474">
        <f t="shared" si="106"/>
        <v>5100.203908457429</v>
      </c>
      <c r="AA165" s="474">
        <f t="shared" si="107"/>
        <v>0</v>
      </c>
      <c r="AB165" s="474">
        <f t="shared" si="108"/>
        <v>28956.049057588672</v>
      </c>
      <c r="AC165" s="474">
        <f t="shared" si="109"/>
        <v>63537.266882100608</v>
      </c>
      <c r="AD165" s="475">
        <f t="shared" si="110"/>
        <v>0</v>
      </c>
      <c r="AE165" s="100">
        <f t="shared" si="111"/>
        <v>0.2154317039623744</v>
      </c>
      <c r="AF165" s="100">
        <f t="shared" si="112"/>
        <v>0.24856392195523563</v>
      </c>
      <c r="AG165" s="100">
        <f t="shared" si="113"/>
        <v>8.0271062303031354E-2</v>
      </c>
      <c r="AH165" s="100">
        <f t="shared" si="126"/>
        <v>0</v>
      </c>
      <c r="AI165" s="100">
        <f t="shared" si="114"/>
        <v>0.45573331177935861</v>
      </c>
      <c r="AJ165" s="471">
        <f t="shared" si="115"/>
        <v>1</v>
      </c>
      <c r="AK165" s="1250">
        <f t="shared" si="116"/>
        <v>12131.522203555402</v>
      </c>
      <c r="AL165" s="1251">
        <f t="shared" si="117"/>
        <v>1467.6514144835435</v>
      </c>
      <c r="AM165" s="1251">
        <f t="shared" si="118"/>
        <v>88.76805148412582</v>
      </c>
      <c r="AN165" s="1251">
        <f t="shared" si="119"/>
        <v>13687.94166952307</v>
      </c>
      <c r="AO165" s="1022">
        <f t="shared" si="120"/>
        <v>0</v>
      </c>
    </row>
    <row r="166" spans="1:41">
      <c r="A166" s="89">
        <f>'Input data'!A146</f>
        <v>2046</v>
      </c>
      <c r="B166" s="152">
        <f>'Input data'!B146</f>
        <v>73.995362001779526</v>
      </c>
      <c r="C166" s="204">
        <f>'Input data'!C146</f>
        <v>8212.8506709212088</v>
      </c>
      <c r="D166" s="205">
        <f>'Input data'!D146</f>
        <v>16217597.669678843</v>
      </c>
      <c r="E166" s="473">
        <f>'Input data'!J146*C166</f>
        <v>98809.181148056668</v>
      </c>
      <c r="F166" s="474">
        <f>'Input data'!L146</f>
        <v>115026.77881773551</v>
      </c>
      <c r="G166" s="474">
        <f t="shared" si="132"/>
        <v>13687.941669523079</v>
      </c>
      <c r="H166" s="474">
        <f t="shared" si="121"/>
        <v>58228.911176523427</v>
      </c>
      <c r="I166" s="475">
        <f t="shared" si="96"/>
        <v>16217.597669678842</v>
      </c>
      <c r="J166" s="579">
        <f t="shared" si="131"/>
        <v>0.4</v>
      </c>
      <c r="K166" s="474">
        <f t="shared" si="123"/>
        <v>5488.8826058565683</v>
      </c>
      <c r="L166" s="474">
        <f t="shared" si="97"/>
        <v>0</v>
      </c>
      <c r="M166" s="475">
        <f t="shared" si="124"/>
        <v>5488.8826058565683</v>
      </c>
      <c r="N166" s="579">
        <f t="shared" si="130"/>
        <v>0.5</v>
      </c>
      <c r="O166" s="475">
        <f t="shared" si="98"/>
        <v>751.91700000000026</v>
      </c>
      <c r="P166" s="1234">
        <f t="shared" si="127"/>
        <v>6240.7996058565686</v>
      </c>
      <c r="Q166" s="467">
        <f t="shared" si="99"/>
        <v>65676.05324018994</v>
      </c>
      <c r="R166" s="467">
        <f t="shared" si="125"/>
        <v>51988.111570666864</v>
      </c>
      <c r="S166" s="1255">
        <f t="shared" si="100"/>
        <v>0.92926359676868919</v>
      </c>
      <c r="T166" s="118" t="str">
        <f t="shared" si="101"/>
        <v>Yes</v>
      </c>
      <c r="U166" s="1255">
        <f t="shared" si="102"/>
        <v>0.92926359676868919</v>
      </c>
      <c r="V166" s="1268">
        <f t="shared" si="95"/>
        <v>63038.667247068661</v>
      </c>
      <c r="W166" s="1269">
        <f t="shared" si="103"/>
        <v>0.45196529108273187</v>
      </c>
      <c r="X166" s="473">
        <f t="shared" si="104"/>
        <v>13687.941669523076</v>
      </c>
      <c r="Y166" s="474">
        <f t="shared" si="105"/>
        <v>14399.494628305772</v>
      </c>
      <c r="Z166" s="474">
        <f t="shared" si="106"/>
        <v>5217.0541904040911</v>
      </c>
      <c r="AA166" s="474">
        <f t="shared" si="107"/>
        <v>0</v>
      </c>
      <c r="AB166" s="474">
        <f t="shared" si="108"/>
        <v>29734.176758835722</v>
      </c>
      <c r="AC166" s="474">
        <f t="shared" si="109"/>
        <v>63038.667247068661</v>
      </c>
      <c r="AD166" s="1240">
        <f t="shared" si="110"/>
        <v>0</v>
      </c>
      <c r="AE166" s="100">
        <f t="shared" si="111"/>
        <v>0.21713564495067231</v>
      </c>
      <c r="AF166" s="100">
        <f t="shared" si="112"/>
        <v>0.2284232084391879</v>
      </c>
      <c r="AG166" s="100">
        <f t="shared" si="113"/>
        <v>8.2759588967145997E-2</v>
      </c>
      <c r="AH166" s="100">
        <f t="shared" si="126"/>
        <v>0</v>
      </c>
      <c r="AI166" s="100">
        <f t="shared" si="114"/>
        <v>0.4716815576429938</v>
      </c>
      <c r="AJ166" s="471">
        <f t="shared" si="115"/>
        <v>1</v>
      </c>
      <c r="AK166" s="1250">
        <f t="shared" si="116"/>
        <v>9730.5586018073045</v>
      </c>
      <c r="AL166" s="1251">
        <f t="shared" si="117"/>
        <v>3730.3318704696585</v>
      </c>
      <c r="AM166" s="1251">
        <f t="shared" si="118"/>
        <v>227.05119724611177</v>
      </c>
      <c r="AN166" s="1251">
        <f t="shared" si="119"/>
        <v>13687.941669523074</v>
      </c>
      <c r="AO166" s="1022">
        <f t="shared" si="120"/>
        <v>0</v>
      </c>
    </row>
    <row r="167" spans="1:41">
      <c r="A167" s="89">
        <f>'Input data'!A147</f>
        <v>2047</v>
      </c>
      <c r="B167" s="152">
        <f>'Input data'!B147</f>
        <v>74.373096484110363</v>
      </c>
      <c r="C167" s="204">
        <f>'Input data'!C147</f>
        <v>8261.0803168727289</v>
      </c>
      <c r="D167" s="205">
        <f>'Input data'!D147</f>
        <v>12215991.666765345</v>
      </c>
      <c r="E167" s="473">
        <f>'Input data'!J147*C167</f>
        <v>99389.434219064453</v>
      </c>
      <c r="F167" s="474">
        <f>'Input data'!L147</f>
        <v>111605.4258858298</v>
      </c>
      <c r="G167" s="474">
        <f t="shared" si="132"/>
        <v>13687.941669523079</v>
      </c>
      <c r="H167" s="474">
        <f t="shared" si="121"/>
        <v>54806.548317233057</v>
      </c>
      <c r="I167" s="475">
        <f t="shared" si="96"/>
        <v>12215.991666765345</v>
      </c>
      <c r="J167" s="579">
        <f t="shared" si="131"/>
        <v>0.4</v>
      </c>
      <c r="K167" s="474">
        <f t="shared" si="123"/>
        <v>4134.5300049193374</v>
      </c>
      <c r="L167" s="474">
        <f t="shared" si="97"/>
        <v>0</v>
      </c>
      <c r="M167" s="475">
        <f t="shared" si="124"/>
        <v>4134.5300049193374</v>
      </c>
      <c r="N167" s="579">
        <f t="shared" si="130"/>
        <v>0.5</v>
      </c>
      <c r="O167" s="475">
        <f t="shared" si="98"/>
        <v>751.91700000000026</v>
      </c>
      <c r="P167" s="1234">
        <f t="shared" si="127"/>
        <v>4886.4470049193378</v>
      </c>
      <c r="Q167" s="467">
        <f t="shared" si="99"/>
        <v>63608.042981836792</v>
      </c>
      <c r="R167" s="467">
        <f t="shared" si="125"/>
        <v>49920.101312313709</v>
      </c>
      <c r="S167" s="1255">
        <f t="shared" si="100"/>
        <v>0.88701986466430904</v>
      </c>
      <c r="T167" s="118" t="str">
        <f t="shared" si="101"/>
        <v>Yes</v>
      </c>
      <c r="U167" s="1255">
        <f t="shared" si="102"/>
        <v>0.88701986466430904</v>
      </c>
      <c r="V167" s="1268">
        <f t="shared" si="95"/>
        <v>61685.324573516089</v>
      </c>
      <c r="W167" s="1269">
        <f t="shared" si="103"/>
        <v>0.44729098891106789</v>
      </c>
      <c r="X167" s="473">
        <f t="shared" si="104"/>
        <v>13687.941669523083</v>
      </c>
      <c r="Y167" s="474">
        <f t="shared" si="105"/>
        <v>12845.317814495815</v>
      </c>
      <c r="Z167" s="474">
        <f t="shared" si="106"/>
        <v>5243.2755347882812</v>
      </c>
      <c r="AA167" s="474">
        <f t="shared" si="107"/>
        <v>0</v>
      </c>
      <c r="AB167" s="474">
        <f t="shared" si="108"/>
        <v>29908.789554708914</v>
      </c>
      <c r="AC167" s="474">
        <f t="shared" si="109"/>
        <v>61685.324573516089</v>
      </c>
      <c r="AD167" s="1240">
        <f t="shared" si="110"/>
        <v>0</v>
      </c>
      <c r="AE167" s="100">
        <f t="shared" si="111"/>
        <v>0.22189948361558673</v>
      </c>
      <c r="AF167" s="100">
        <f t="shared" si="112"/>
        <v>0.20823944598340996</v>
      </c>
      <c r="AG167" s="100">
        <f t="shared" si="113"/>
        <v>8.500037198538829E-2</v>
      </c>
      <c r="AH167" s="100">
        <f t="shared" si="126"/>
        <v>0</v>
      </c>
      <c r="AI167" s="100">
        <f t="shared" si="114"/>
        <v>0.48486069841561508</v>
      </c>
      <c r="AJ167" s="471">
        <f t="shared" si="115"/>
        <v>1</v>
      </c>
      <c r="AK167" s="1250">
        <f t="shared" si="116"/>
        <v>7329.5950000592056</v>
      </c>
      <c r="AL167" s="1251">
        <f t="shared" si="117"/>
        <v>5993.0721508985935</v>
      </c>
      <c r="AM167" s="1251">
        <f t="shared" si="118"/>
        <v>365.27451856528114</v>
      </c>
      <c r="AN167" s="1251">
        <f t="shared" si="119"/>
        <v>13687.941669523079</v>
      </c>
      <c r="AO167" s="1022">
        <f t="shared" si="120"/>
        <v>0</v>
      </c>
    </row>
    <row r="168" spans="1:41">
      <c r="A168" s="89">
        <f>'Input data'!A148</f>
        <v>2048</v>
      </c>
      <c r="B168" s="152">
        <f>'Input data'!B148</f>
        <v>74.752759240528661</v>
      </c>
      <c r="C168" s="204">
        <f>'Input data'!C148</f>
        <v>8289.8997424694644</v>
      </c>
      <c r="D168" s="205">
        <f>'Input data'!D148</f>
        <v>8214385.6638518488</v>
      </c>
      <c r="E168" s="473">
        <f>'Input data'!J148*C168</f>
        <v>99736.162043357326</v>
      </c>
      <c r="F168" s="474">
        <f>'Input data'!L148</f>
        <v>107950.54770720917</v>
      </c>
      <c r="G168" s="474">
        <f t="shared" si="132"/>
        <v>13687.941669523079</v>
      </c>
      <c r="H168" s="474">
        <f t="shared" si="121"/>
        <v>51250.187008738765</v>
      </c>
      <c r="I168" s="475">
        <f t="shared" si="96"/>
        <v>8214.3856638518482</v>
      </c>
      <c r="J168" s="579">
        <f t="shared" si="131"/>
        <v>0.4</v>
      </c>
      <c r="K168" s="474">
        <f t="shared" si="123"/>
        <v>2780.1774039821057</v>
      </c>
      <c r="L168" s="474">
        <f t="shared" si="97"/>
        <v>0</v>
      </c>
      <c r="M168" s="475">
        <f t="shared" si="124"/>
        <v>2780.1774039821057</v>
      </c>
      <c r="N168" s="579">
        <f t="shared" si="130"/>
        <v>0.5</v>
      </c>
      <c r="O168" s="475">
        <f t="shared" si="98"/>
        <v>751.91700000000026</v>
      </c>
      <c r="P168" s="1234">
        <f t="shared" si="127"/>
        <v>3532.0944039821061</v>
      </c>
      <c r="Q168" s="467">
        <f t="shared" si="99"/>
        <v>61406.034274279737</v>
      </c>
      <c r="R168" s="467">
        <f t="shared" si="125"/>
        <v>47718.092604756661</v>
      </c>
      <c r="S168" s="1255">
        <f t="shared" si="100"/>
        <v>0.84490593006819925</v>
      </c>
      <c r="T168" s="118" t="str">
        <f t="shared" si="101"/>
        <v>Yes</v>
      </c>
      <c r="U168" s="1255">
        <f t="shared" si="102"/>
        <v>0.84490593006819925</v>
      </c>
      <c r="V168" s="1268">
        <f t="shared" si="95"/>
        <v>60232.455102452528</v>
      </c>
      <c r="W168" s="1269">
        <f t="shared" si="103"/>
        <v>0.44203659562877717</v>
      </c>
      <c r="X168" s="473">
        <f t="shared" si="104"/>
        <v>13687.941669523072</v>
      </c>
      <c r="Y168" s="474">
        <f t="shared" si="105"/>
        <v>11272.440733004229</v>
      </c>
      <c r="Z168" s="474">
        <f t="shared" si="106"/>
        <v>5258.9439907476335</v>
      </c>
      <c r="AA168" s="474">
        <f t="shared" si="107"/>
        <v>0</v>
      </c>
      <c r="AB168" s="474">
        <f t="shared" si="108"/>
        <v>30013.128709177592</v>
      </c>
      <c r="AC168" s="474">
        <f t="shared" si="109"/>
        <v>60232.455102452528</v>
      </c>
      <c r="AD168" s="1240">
        <f t="shared" si="110"/>
        <v>0</v>
      </c>
      <c r="AE168" s="100">
        <f t="shared" si="111"/>
        <v>0.22725192998094693</v>
      </c>
      <c r="AF168" s="100">
        <f t="shared" si="112"/>
        <v>0.18714895007733531</v>
      </c>
      <c r="AG168" s="100">
        <f t="shared" si="113"/>
        <v>8.7310802486839048E-2</v>
      </c>
      <c r="AH168" s="100">
        <f t="shared" si="126"/>
        <v>0</v>
      </c>
      <c r="AI168" s="100">
        <f t="shared" si="114"/>
        <v>0.49828831745487867</v>
      </c>
      <c r="AJ168" s="471">
        <f t="shared" si="115"/>
        <v>1</v>
      </c>
      <c r="AK168" s="1250">
        <f t="shared" si="116"/>
        <v>4928.6313983111086</v>
      </c>
      <c r="AL168" s="1251">
        <f t="shared" si="117"/>
        <v>8255.7216539726433</v>
      </c>
      <c r="AM168" s="1251">
        <f t="shared" si="118"/>
        <v>503.58861723931761</v>
      </c>
      <c r="AN168" s="1251">
        <f t="shared" si="119"/>
        <v>13687.94166952307</v>
      </c>
      <c r="AO168" s="1022">
        <f t="shared" si="120"/>
        <v>0</v>
      </c>
    </row>
    <row r="169" spans="1:41">
      <c r="A169" s="89">
        <f>'Input data'!A149</f>
        <v>2049</v>
      </c>
      <c r="B169" s="152">
        <f>'Input data'!B149</f>
        <v>75.134360114565098</v>
      </c>
      <c r="C169" s="204">
        <f>'Input data'!C149</f>
        <v>8319.7266636271434</v>
      </c>
      <c r="D169" s="205">
        <f>'Input data'!D149</f>
        <v>4212779.6609383523</v>
      </c>
      <c r="E169" s="473">
        <f>'Input data'!J149*C169</f>
        <v>100095.01109271272</v>
      </c>
      <c r="F169" s="474">
        <f>'Input data'!L149</f>
        <v>104307.79075365108</v>
      </c>
      <c r="G169" s="474">
        <f t="shared" si="132"/>
        <v>13687.941669523079</v>
      </c>
      <c r="H169" s="474">
        <f t="shared" si="121"/>
        <v>47700.780945485312</v>
      </c>
      <c r="I169" s="475">
        <f t="shared" si="96"/>
        <v>4212.7796609383522</v>
      </c>
      <c r="J169" s="579">
        <f t="shared" si="131"/>
        <v>0.4</v>
      </c>
      <c r="K169" s="474">
        <f t="shared" si="123"/>
        <v>1425.8248030448744</v>
      </c>
      <c r="L169" s="474">
        <f t="shared" si="97"/>
        <v>0</v>
      </c>
      <c r="M169" s="475">
        <f t="shared" si="124"/>
        <v>1425.8248030448744</v>
      </c>
      <c r="N169" s="579">
        <f t="shared" si="130"/>
        <v>0.5</v>
      </c>
      <c r="O169" s="475">
        <f t="shared" si="98"/>
        <v>751.91700000000026</v>
      </c>
      <c r="P169" s="1234">
        <f t="shared" si="127"/>
        <v>2177.7418030448748</v>
      </c>
      <c r="Q169" s="467">
        <f t="shared" si="99"/>
        <v>59210.980811963513</v>
      </c>
      <c r="R169" s="467">
        <f t="shared" si="125"/>
        <v>45523.039142440437</v>
      </c>
      <c r="S169" s="1255">
        <f t="shared" si="100"/>
        <v>0.80311182816840843</v>
      </c>
      <c r="T169" s="118" t="str">
        <f t="shared" si="101"/>
        <v>Yes</v>
      </c>
      <c r="U169" s="1255">
        <f t="shared" si="102"/>
        <v>0.80311182816840843</v>
      </c>
      <c r="V169" s="1268">
        <f t="shared" si="95"/>
        <v>58784.751611210653</v>
      </c>
      <c r="W169" s="1269">
        <f t="shared" si="103"/>
        <v>0.43642990435828954</v>
      </c>
      <c r="X169" s="473">
        <f t="shared" si="104"/>
        <v>13687.941669523076</v>
      </c>
      <c r="Y169" s="474">
        <f t="shared" si="105"/>
        <v>9700.5342966847911</v>
      </c>
      <c r="Z169" s="474">
        <f t="shared" si="106"/>
        <v>5275.1601987700142</v>
      </c>
      <c r="AA169" s="474">
        <f t="shared" si="107"/>
        <v>0</v>
      </c>
      <c r="AB169" s="474">
        <f t="shared" si="108"/>
        <v>30121.11544623278</v>
      </c>
      <c r="AC169" s="474">
        <f t="shared" si="109"/>
        <v>58784.751611210653</v>
      </c>
      <c r="AD169" s="1240">
        <f t="shared" si="110"/>
        <v>0</v>
      </c>
      <c r="AE169" s="100">
        <f t="shared" si="111"/>
        <v>0.2328485073825283</v>
      </c>
      <c r="AF169" s="100">
        <f t="shared" si="112"/>
        <v>0.16501786655223075</v>
      </c>
      <c r="AG169" s="100">
        <f t="shared" si="113"/>
        <v>8.9736879959258095E-2</v>
      </c>
      <c r="AH169" s="100">
        <f t="shared" si="126"/>
        <v>0</v>
      </c>
      <c r="AI169" s="100">
        <f t="shared" si="114"/>
        <v>0.51239674610598296</v>
      </c>
      <c r="AJ169" s="471">
        <f t="shared" si="115"/>
        <v>1</v>
      </c>
      <c r="AK169" s="1250">
        <f t="shared" si="116"/>
        <v>2527.6677965630115</v>
      </c>
      <c r="AL169" s="1251">
        <f t="shared" si="117"/>
        <v>10518.147473506404</v>
      </c>
      <c r="AM169" s="1251">
        <f t="shared" si="118"/>
        <v>642.12639945365675</v>
      </c>
      <c r="AN169" s="1251">
        <f t="shared" si="119"/>
        <v>13687.941669523072</v>
      </c>
      <c r="AO169" s="1022">
        <f t="shared" si="120"/>
        <v>0</v>
      </c>
    </row>
    <row r="170" spans="1:41" ht="15" thickBot="1">
      <c r="A170" s="141">
        <f>'Input data'!A150</f>
        <v>2050</v>
      </c>
      <c r="B170" s="593">
        <f>'Input data'!B150</f>
        <v>75.517908999999989</v>
      </c>
      <c r="C170" s="207">
        <f>'Input data'!C150</f>
        <v>8341.54221182129</v>
      </c>
      <c r="D170" s="208">
        <f>'Input data'!D150</f>
        <v>211173.65802485455</v>
      </c>
      <c r="E170" s="598">
        <f>'Input data'!J150*C170</f>
        <v>100357.47494841044</v>
      </c>
      <c r="F170" s="595">
        <f>'Input data'!L150</f>
        <v>100568.64860643529</v>
      </c>
      <c r="G170" s="595">
        <f t="shared" si="132"/>
        <v>13687.941669523079</v>
      </c>
      <c r="H170" s="595">
        <f t="shared" si="121"/>
        <v>44096.068371873596</v>
      </c>
      <c r="I170" s="589">
        <f t="shared" si="96"/>
        <v>211.17365802485455</v>
      </c>
      <c r="J170" s="580">
        <f t="shared" si="131"/>
        <v>0.4</v>
      </c>
      <c r="K170" s="595">
        <f t="shared" si="123"/>
        <v>71.472202107643056</v>
      </c>
      <c r="L170" s="595">
        <f t="shared" si="97"/>
        <v>0</v>
      </c>
      <c r="M170" s="589">
        <f t="shared" si="124"/>
        <v>71.472202107643056</v>
      </c>
      <c r="N170" s="580">
        <f t="shared" si="130"/>
        <v>0.5</v>
      </c>
      <c r="O170" s="589">
        <f t="shared" si="98"/>
        <v>751.91700000000026</v>
      </c>
      <c r="P170" s="1235">
        <f t="shared" si="127"/>
        <v>823.38920210764331</v>
      </c>
      <c r="Q170" s="1238">
        <f t="shared" si="99"/>
        <v>56960.620839289033</v>
      </c>
      <c r="R170" s="1238">
        <f t="shared" si="125"/>
        <v>43272.67916976595</v>
      </c>
      <c r="S170" s="1256">
        <f t="shared" si="100"/>
        <v>0.76138829988542223</v>
      </c>
      <c r="T170" s="951" t="str">
        <f t="shared" si="101"/>
        <v>Yes</v>
      </c>
      <c r="U170" s="1256">
        <f t="shared" si="102"/>
        <v>0.76138829988542223</v>
      </c>
      <c r="V170" s="1270">
        <f t="shared" si="95"/>
        <v>57295.969436669358</v>
      </c>
      <c r="W170" s="1271">
        <f t="shared" si="103"/>
        <v>0.43028001041466668</v>
      </c>
      <c r="X170" s="598">
        <f t="shared" si="104"/>
        <v>13687.941669523081</v>
      </c>
      <c r="Y170" s="595">
        <f t="shared" si="105"/>
        <v>8120.9095132174525</v>
      </c>
      <c r="Z170" s="595">
        <f t="shared" si="106"/>
        <v>5287.0208083773005</v>
      </c>
      <c r="AA170" s="595">
        <f t="shared" si="107"/>
        <v>0</v>
      </c>
      <c r="AB170" s="595">
        <f t="shared" si="108"/>
        <v>30200.097445551524</v>
      </c>
      <c r="AC170" s="595">
        <f t="shared" si="109"/>
        <v>57295.969436669358</v>
      </c>
      <c r="AD170" s="1241">
        <f t="shared" si="110"/>
        <v>0</v>
      </c>
      <c r="AE170" s="581">
        <f t="shared" si="111"/>
        <v>0.23889885805410271</v>
      </c>
      <c r="AF170" s="581">
        <f t="shared" si="112"/>
        <v>0.14173613943636459</v>
      </c>
      <c r="AG170" s="581">
        <f t="shared" si="113"/>
        <v>9.2275614853173468E-2</v>
      </c>
      <c r="AH170" s="581">
        <f t="shared" si="126"/>
        <v>0</v>
      </c>
      <c r="AI170" s="581">
        <f>AB170/AC170</f>
        <v>0.52708938765635915</v>
      </c>
      <c r="AJ170" s="582">
        <f t="shared" si="115"/>
        <v>1</v>
      </c>
      <c r="AK170" s="1252">
        <f t="shared" si="116"/>
        <v>126.70419481491274</v>
      </c>
      <c r="AL170" s="1253">
        <f t="shared" si="117"/>
        <v>12780.523935495927</v>
      </c>
      <c r="AM170" s="1253">
        <f t="shared" si="118"/>
        <v>780.71353921223874</v>
      </c>
      <c r="AN170" s="1253">
        <f t="shared" si="119"/>
        <v>13687.941669523078</v>
      </c>
      <c r="AO170" s="1023">
        <f t="shared" si="120"/>
        <v>0</v>
      </c>
    </row>
    <row r="172" spans="1:41" ht="23.4">
      <c r="A172" s="610" t="s">
        <v>653</v>
      </c>
    </row>
    <row r="173" spans="1:41" ht="24" thickBot="1">
      <c r="A173" s="610"/>
    </row>
    <row r="174" spans="1:41" ht="21.6" customHeight="1" thickBot="1">
      <c r="A174" s="1521" t="s">
        <v>602</v>
      </c>
      <c r="B174" s="1522"/>
      <c r="C174" s="1522"/>
      <c r="D174" s="1523"/>
      <c r="E174" s="1617" t="s">
        <v>603</v>
      </c>
      <c r="F174" s="1618"/>
      <c r="G174" s="1618"/>
      <c r="H174" s="1618"/>
      <c r="I174" s="1619"/>
      <c r="J174" s="1528"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1" ht="43.2" customHeight="1">
      <c r="A175" s="1519"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54"/>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204">
        <f>'Input data'!E119</f>
        <v>53169997.747000799</v>
      </c>
      <c r="E179" s="473">
        <f>'Input data'!J119*C179</f>
        <v>53378.943448604135</v>
      </c>
      <c r="F179" s="474">
        <f>'Input data'!L119</f>
        <v>106548.94119560494</v>
      </c>
      <c r="G179" s="489">
        <f>G177*0.89</f>
        <v>60911.340429377713</v>
      </c>
      <c r="H179" s="474">
        <f t="shared" ref="H179:H210" si="160">E179*$B$12+I179*$E$80-G179</f>
        <v>19615.381990165086</v>
      </c>
      <c r="I179" s="475">
        <f t="shared" si="135"/>
        <v>53169.997747000802</v>
      </c>
      <c r="J179" s="579">
        <f t="shared" ref="J179:J189" si="161">($J$190-$J$177)/($A$190-$A$177)+J178</f>
        <v>0.11361731727283289</v>
      </c>
      <c r="K179" s="474">
        <f t="shared" ref="K179:K210" si="162">(I179)*J179-(I179)*$J$137</f>
        <v>2768.5393809788216</v>
      </c>
      <c r="L179" s="474">
        <f t="shared" si="136"/>
        <v>0</v>
      </c>
      <c r="M179" s="475">
        <f t="shared" ref="M179:M210" si="163">L179+K179</f>
        <v>2768.5393809788216</v>
      </c>
      <c r="N179" s="579">
        <v>0.1</v>
      </c>
      <c r="O179" s="475">
        <f t="shared" si="137"/>
        <v>150.38340000000005</v>
      </c>
      <c r="P179" s="1234">
        <f>O179+M179</f>
        <v>2918.9227809788217</v>
      </c>
      <c r="Q179" s="467">
        <f t="shared" si="138"/>
        <v>77607.799638563971</v>
      </c>
      <c r="R179" s="467">
        <f t="shared" ref="R179:R210" si="164">Q179-G179</f>
        <v>16696.459209186258</v>
      </c>
      <c r="S179" s="1255">
        <f t="shared" si="139"/>
        <v>0.54780504374984418</v>
      </c>
      <c r="T179" s="118" t="str">
        <f t="shared" si="140"/>
        <v>Yes</v>
      </c>
      <c r="U179" s="1259">
        <f t="shared" si="141"/>
        <v>0.54780504374984418</v>
      </c>
      <c r="V179" s="1247">
        <f t="shared" si="142"/>
        <v>89852.481986418687</v>
      </c>
      <c r="W179" s="1244">
        <f t="shared" si="134"/>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4197.6296598339768</v>
      </c>
      <c r="D180" s="204">
        <f>'Input data'!E120</f>
        <v>50963260.465782054</v>
      </c>
      <c r="E180" s="473">
        <f>'Input data'!J120*C180</f>
        <v>50501.873961927049</v>
      </c>
      <c r="F180" s="474">
        <f>'Input data'!L120</f>
        <v>101465.1344277091</v>
      </c>
      <c r="G180" s="489">
        <f>G177*0.81</f>
        <v>55436.163761568481</v>
      </c>
      <c r="H180" s="474">
        <f t="shared" si="160"/>
        <v>21368.758110647708</v>
      </c>
      <c r="I180" s="475">
        <f t="shared" si="135"/>
        <v>50963.260465782056</v>
      </c>
      <c r="J180" s="579">
        <f t="shared" si="161"/>
        <v>0.13965210661166627</v>
      </c>
      <c r="K180" s="474">
        <f t="shared" si="162"/>
        <v>3980.4532507401927</v>
      </c>
      <c r="L180" s="474">
        <f t="shared" si="136"/>
        <v>0</v>
      </c>
      <c r="M180" s="475">
        <f t="shared" si="163"/>
        <v>3980.4532507401927</v>
      </c>
      <c r="N180" s="579">
        <f>($N$142-$N$137)/($A$102-$A$97)+N179</f>
        <v>0.2</v>
      </c>
      <c r="O180" s="475">
        <f t="shared" si="137"/>
        <v>300.7668000000001</v>
      </c>
      <c r="P180" s="1234">
        <f t="shared" ref="P180:P210" si="166">O180+M180</f>
        <v>4281.2200507401931</v>
      </c>
      <c r="Q180" s="467">
        <f t="shared" si="138"/>
        <v>72523.701821476003</v>
      </c>
      <c r="R180" s="467">
        <f t="shared" si="164"/>
        <v>17087.538059907522</v>
      </c>
      <c r="S180" s="1255">
        <f t="shared" si="139"/>
        <v>0.59585031883972595</v>
      </c>
      <c r="T180" s="118" t="str">
        <f t="shared" si="140"/>
        <v>Yes</v>
      </c>
      <c r="U180" s="1259">
        <f t="shared" si="141"/>
        <v>0.59585031883972595</v>
      </c>
      <c r="V180" s="1247">
        <f t="shared" si="142"/>
        <v>84377.596367801583</v>
      </c>
      <c r="W180" s="1244">
        <f t="shared" si="134"/>
        <v>0.1684079773439997</v>
      </c>
      <c r="X180" s="473">
        <f t="shared" si="143"/>
        <v>55436.163761568474</v>
      </c>
      <c r="Y180" s="474">
        <f t="shared" si="144"/>
        <v>11161.222878141903</v>
      </c>
      <c r="Z180" s="116">
        <f t="shared" si="145"/>
        <v>2582.9210795159115</v>
      </c>
      <c r="AA180" s="116">
        <f t="shared" si="146"/>
        <v>0</v>
      </c>
      <c r="AB180" s="116">
        <f t="shared" si="147"/>
        <v>15197.288648575301</v>
      </c>
      <c r="AC180" s="116">
        <f t="shared" si="148"/>
        <v>84377.596367801583</v>
      </c>
      <c r="AD180" s="1240">
        <f t="shared" si="149"/>
        <v>0</v>
      </c>
      <c r="AE180" s="579">
        <f t="shared" si="150"/>
        <v>0.65700098305624244</v>
      </c>
      <c r="AF180" s="100">
        <f t="shared" si="151"/>
        <v>0.13227708963751683</v>
      </c>
      <c r="AG180" s="100">
        <f t="shared" si="152"/>
        <v>3.0611456010870109E-2</v>
      </c>
      <c r="AH180" s="100">
        <f t="shared" si="165"/>
        <v>0</v>
      </c>
      <c r="AI180" s="100">
        <f t="shared" si="153"/>
        <v>0.18011047129537069</v>
      </c>
      <c r="AJ180" s="100">
        <f t="shared" si="154"/>
        <v>1</v>
      </c>
      <c r="AK180" s="1250">
        <f t="shared" si="155"/>
        <v>43846.133781936544</v>
      </c>
      <c r="AL180" s="1251">
        <f t="shared" si="156"/>
        <v>10893.236471236294</v>
      </c>
      <c r="AM180" s="1251">
        <f t="shared" si="157"/>
        <v>696.79350839563915</v>
      </c>
      <c r="AN180" s="1251">
        <f t="shared" si="158"/>
        <v>55436.163761568474</v>
      </c>
      <c r="AO180" s="1022">
        <f t="shared" si="159"/>
        <v>0</v>
      </c>
    </row>
    <row r="181" spans="1:41">
      <c r="A181" s="89">
        <f>'Input data'!A121</f>
        <v>2021</v>
      </c>
      <c r="B181" s="152">
        <f>'Input data'!B121</f>
        <v>59.991580449204264</v>
      </c>
      <c r="C181" s="204">
        <f>'Input data'!C121</f>
        <v>4326.0661578199733</v>
      </c>
      <c r="D181" s="204">
        <f>'Input data'!E121</f>
        <v>50546075.397081107</v>
      </c>
      <c r="E181" s="473">
        <f>'Input data'!J121*C181</f>
        <v>52047.099329344681</v>
      </c>
      <c r="F181" s="474">
        <f>'Input data'!L121</f>
        <v>102593.17472642579</v>
      </c>
      <c r="G181" s="489">
        <f>G177*0.65</f>
        <v>44485.810425950018</v>
      </c>
      <c r="H181" s="474">
        <f t="shared" si="160"/>
        <v>32814.264492545721</v>
      </c>
      <c r="I181" s="475">
        <f t="shared" si="135"/>
        <v>50546.075397081106</v>
      </c>
      <c r="J181" s="579">
        <f t="shared" si="161"/>
        <v>0.16568689595049965</v>
      </c>
      <c r="K181" s="474">
        <f t="shared" si="162"/>
        <v>5263.8256994711801</v>
      </c>
      <c r="L181" s="474">
        <f t="shared" si="136"/>
        <v>0</v>
      </c>
      <c r="M181" s="475">
        <f t="shared" si="163"/>
        <v>5263.8256994711801</v>
      </c>
      <c r="N181" s="579">
        <v>0.4</v>
      </c>
      <c r="O181" s="475">
        <f t="shared" si="137"/>
        <v>601.53360000000021</v>
      </c>
      <c r="P181" s="1234">
        <f t="shared" si="166"/>
        <v>5865.3592994711798</v>
      </c>
      <c r="Q181" s="467">
        <f t="shared" si="138"/>
        <v>71434.715619024559</v>
      </c>
      <c r="R181" s="467">
        <f t="shared" si="164"/>
        <v>26948.905193074541</v>
      </c>
      <c r="S181" s="1255">
        <f t="shared" si="139"/>
        <v>0.92090623727846399</v>
      </c>
      <c r="T181" s="118" t="str">
        <f t="shared" si="140"/>
        <v>Yes</v>
      </c>
      <c r="U181" s="1259">
        <f t="shared" si="141"/>
        <v>0.92090623727846399</v>
      </c>
      <c r="V181" s="1247">
        <f t="shared" si="142"/>
        <v>75644.269533351253</v>
      </c>
      <c r="W181" s="1244">
        <f t="shared" si="134"/>
        <v>0.2626773687912114</v>
      </c>
      <c r="X181" s="473">
        <f t="shared" si="143"/>
        <v>44485.810425950018</v>
      </c>
      <c r="Y181" s="474">
        <f t="shared" si="144"/>
        <v>12542.657304486011</v>
      </c>
      <c r="Z181" s="116">
        <f t="shared" si="145"/>
        <v>2953.515836548303</v>
      </c>
      <c r="AA181" s="116">
        <f t="shared" si="146"/>
        <v>0</v>
      </c>
      <c r="AB181" s="116">
        <f t="shared" si="147"/>
        <v>15662.285966366921</v>
      </c>
      <c r="AC181" s="116">
        <f t="shared" si="148"/>
        <v>75644.269533351253</v>
      </c>
      <c r="AD181" s="475">
        <f t="shared" si="149"/>
        <v>0</v>
      </c>
      <c r="AE181" s="579">
        <f t="shared" si="150"/>
        <v>0.58809227322019952</v>
      </c>
      <c r="AF181" s="100">
        <f t="shared" si="151"/>
        <v>0.16581107044673099</v>
      </c>
      <c r="AG181" s="100">
        <f t="shared" si="152"/>
        <v>3.9044806100561387E-2</v>
      </c>
      <c r="AH181" s="100">
        <f t="shared" si="165"/>
        <v>0</v>
      </c>
      <c r="AI181" s="100">
        <f t="shared" si="153"/>
        <v>0.20705185023250813</v>
      </c>
      <c r="AJ181" s="100">
        <f t="shared" si="154"/>
        <v>1</v>
      </c>
      <c r="AK181" s="1250">
        <f t="shared" si="155"/>
        <v>42171.253062058822</v>
      </c>
      <c r="AL181" s="1251">
        <f t="shared" si="156"/>
        <v>2197.080474396314</v>
      </c>
      <c r="AM181" s="1251">
        <f t="shared" si="157"/>
        <v>117.47688949488752</v>
      </c>
      <c r="AN181" s="1251">
        <f t="shared" si="158"/>
        <v>44485.810425950025</v>
      </c>
      <c r="AO181" s="1022">
        <f t="shared" si="159"/>
        <v>0</v>
      </c>
    </row>
    <row r="182" spans="1:41">
      <c r="A182" s="89">
        <f>'Input data'!A122</f>
        <v>2022</v>
      </c>
      <c r="B182" s="152">
        <f>'Input data'!B122</f>
        <v>60.682333816399378</v>
      </c>
      <c r="C182" s="204">
        <f>'Input data'!C122</f>
        <v>4414.4786843532656</v>
      </c>
      <c r="D182" s="204">
        <f>'Input data'!E122</f>
        <v>50359792.84713313</v>
      </c>
      <c r="E182" s="473">
        <f>'Input data'!J122*C182</f>
        <v>53110.794470048553</v>
      </c>
      <c r="F182" s="474">
        <f>'Input data'!L122</f>
        <v>103470.58731718169</v>
      </c>
      <c r="G182" s="489">
        <f>G177*(1-E4)</f>
        <v>34219.854173807704</v>
      </c>
      <c r="H182" s="474">
        <f t="shared" si="160"/>
        <v>43515.759309397268</v>
      </c>
      <c r="I182" s="475">
        <f t="shared" si="135"/>
        <v>50359.792847133132</v>
      </c>
      <c r="J182" s="579">
        <f t="shared" si="161"/>
        <v>0.19172168528933303</v>
      </c>
      <c r="K182" s="474">
        <f t="shared" si="162"/>
        <v>6555.5329896119956</v>
      </c>
      <c r="L182" s="474">
        <f t="shared" si="136"/>
        <v>0</v>
      </c>
      <c r="M182" s="475">
        <f t="shared" si="163"/>
        <v>6555.5329896119956</v>
      </c>
      <c r="N182" s="579">
        <f>$E$26</f>
        <v>0.5</v>
      </c>
      <c r="O182" s="475">
        <f t="shared" si="137"/>
        <v>751.91700000000026</v>
      </c>
      <c r="P182" s="1234">
        <f t="shared" si="166"/>
        <v>7307.449989611996</v>
      </c>
      <c r="Q182" s="467">
        <f t="shared" si="138"/>
        <v>70428.163493592976</v>
      </c>
      <c r="R182" s="467">
        <f t="shared" si="164"/>
        <v>36208.309319785272</v>
      </c>
      <c r="S182" s="1255">
        <f t="shared" si="139"/>
        <v>1.2181737850093515</v>
      </c>
      <c r="T182" s="118" t="str">
        <f t="shared" si="140"/>
        <v>No</v>
      </c>
      <c r="U182" s="1259">
        <f t="shared" si="141"/>
        <v>1</v>
      </c>
      <c r="V182" s="1247">
        <f t="shared" si="142"/>
        <v>73747.152315247789</v>
      </c>
      <c r="W182" s="1244">
        <f>(1-V182/F182)</f>
        <v>0.28726458187406279</v>
      </c>
      <c r="X182" s="473">
        <f t="shared" si="143"/>
        <v>40704.728491659065</v>
      </c>
      <c r="Y182" s="474">
        <f t="shared" si="144"/>
        <v>13908.078054615326</v>
      </c>
      <c r="Z182" s="116">
        <f t="shared" si="145"/>
        <v>3151.9670848679066</v>
      </c>
      <c r="AA182" s="116">
        <f t="shared" si="146"/>
        <v>0</v>
      </c>
      <c r="AB182" s="116">
        <f t="shared" si="147"/>
        <v>15982.378684105484</v>
      </c>
      <c r="AC182" s="116">
        <f t="shared" si="148"/>
        <v>73747.152315247789</v>
      </c>
      <c r="AD182" s="475">
        <f t="shared" si="149"/>
        <v>6484.8743178513614</v>
      </c>
      <c r="AE182" s="579">
        <f t="shared" si="150"/>
        <v>0.55194983418014709</v>
      </c>
      <c r="AF182" s="100">
        <f t="shared" si="151"/>
        <v>0.18859139123314628</v>
      </c>
      <c r="AG182" s="100">
        <f t="shared" si="152"/>
        <v>4.2740187056907054E-2</v>
      </c>
      <c r="AH182" s="100">
        <f t="shared" si="165"/>
        <v>0</v>
      </c>
      <c r="AI182" s="100">
        <f t="shared" si="153"/>
        <v>0.2167185875297995</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4492.6346436826334</v>
      </c>
      <c r="D183" s="204">
        <f>'Input data'!E123</f>
        <v>48665382.683029473</v>
      </c>
      <c r="E183" s="473">
        <f>'Input data'!J123*C183</f>
        <v>54051.092382747534</v>
      </c>
      <c r="F183" s="474">
        <f>'Input data'!L123</f>
        <v>102716.47506577701</v>
      </c>
      <c r="G183" s="489">
        <f>($G$147-$G$142)/($A$147-$A$142)+G182</f>
        <v>32166.662923379241</v>
      </c>
      <c r="H183" s="474">
        <f t="shared" si="160"/>
        <v>44518.377146558159</v>
      </c>
      <c r="I183" s="475">
        <f t="shared" si="135"/>
        <v>48665.382683029471</v>
      </c>
      <c r="J183" s="579">
        <f t="shared" si="161"/>
        <v>0.21775647462816641</v>
      </c>
      <c r="K183" s="474">
        <f t="shared" si="162"/>
        <v>7601.957917478293</v>
      </c>
      <c r="L183" s="474">
        <f t="shared" si="136"/>
        <v>0</v>
      </c>
      <c r="M183" s="475">
        <f t="shared" si="163"/>
        <v>7601.957917478293</v>
      </c>
      <c r="N183" s="579">
        <f>($N$147-$N$142)/($A$107-$A$102)+N182</f>
        <v>0.5</v>
      </c>
      <c r="O183" s="475">
        <f t="shared" si="137"/>
        <v>751.91700000000026</v>
      </c>
      <c r="P183" s="1234">
        <f t="shared" si="166"/>
        <v>8353.8749174782934</v>
      </c>
      <c r="Q183" s="467">
        <f t="shared" si="138"/>
        <v>68331.165152459114</v>
      </c>
      <c r="R183" s="467">
        <f t="shared" si="164"/>
        <v>36164.502229079873</v>
      </c>
      <c r="S183" s="1255">
        <f t="shared" si="139"/>
        <v>1.1950077846113711</v>
      </c>
      <c r="T183" s="118" t="str">
        <f t="shared" si="140"/>
        <v>No</v>
      </c>
      <c r="U183" s="1259">
        <f t="shared" si="141"/>
        <v>1</v>
      </c>
      <c r="V183" s="1247">
        <f t="shared" si="142"/>
        <v>72453.490426860255</v>
      </c>
      <c r="W183" s="1244">
        <f t="shared" si="134"/>
        <v>0.29462639386268963</v>
      </c>
      <c r="X183" s="473">
        <f t="shared" si="143"/>
        <v>38068.180513542356</v>
      </c>
      <c r="Y183" s="474">
        <f t="shared" si="144"/>
        <v>14925.513177657298</v>
      </c>
      <c r="Z183" s="116">
        <f t="shared" si="145"/>
        <v>3194.4586745285919</v>
      </c>
      <c r="AA183" s="116">
        <f t="shared" si="146"/>
        <v>0</v>
      </c>
      <c r="AB183" s="116">
        <f t="shared" si="147"/>
        <v>16265.338061132017</v>
      </c>
      <c r="AC183" s="116">
        <f t="shared" si="148"/>
        <v>72453.490426860255</v>
      </c>
      <c r="AD183" s="475">
        <f t="shared" si="149"/>
        <v>5901.5175901631155</v>
      </c>
      <c r="AE183" s="579">
        <f t="shared" si="150"/>
        <v>0.52541541186302276</v>
      </c>
      <c r="AF183" s="100">
        <f t="shared" si="151"/>
        <v>0.20600129945049619</v>
      </c>
      <c r="AG183" s="100">
        <f t="shared" si="152"/>
        <v>4.4089783055425158E-2</v>
      </c>
      <c r="AH183" s="100">
        <f t="shared" si="165"/>
        <v>0</v>
      </c>
      <c r="AI183" s="100">
        <f t="shared" si="153"/>
        <v>0.22449350563105602</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4579.7873251148294</v>
      </c>
      <c r="D184" s="204">
        <f>'Input data'!E124</f>
        <v>48951332.662830688</v>
      </c>
      <c r="E184" s="473">
        <f>'Input data'!J124*C184</f>
        <v>55099.630269557405</v>
      </c>
      <c r="F184" s="474">
        <f>'Input data'!L124</f>
        <v>104050.96293238809</v>
      </c>
      <c r="G184" s="489">
        <f t="shared" ref="G184:G186" si="167">($G$147-$G$142)/($A$147-$A$142)+G183</f>
        <v>30113.471672950778</v>
      </c>
      <c r="H184" s="474">
        <f t="shared" si="160"/>
        <v>47441.577306947831</v>
      </c>
      <c r="I184" s="475">
        <f t="shared" si="135"/>
        <v>48951.33266283069</v>
      </c>
      <c r="J184" s="579">
        <f t="shared" si="161"/>
        <v>0.24379126396699979</v>
      </c>
      <c r="K184" s="474">
        <f t="shared" si="162"/>
        <v>8921.0634361236534</v>
      </c>
      <c r="L184" s="474">
        <f t="shared" si="136"/>
        <v>0</v>
      </c>
      <c r="M184" s="475">
        <f t="shared" si="163"/>
        <v>8921.0634361236534</v>
      </c>
      <c r="N184" s="579">
        <f>($N$147-$N$142)/($A$107-$A$102)+N183</f>
        <v>0.5</v>
      </c>
      <c r="O184" s="475">
        <f t="shared" si="137"/>
        <v>751.91700000000026</v>
      </c>
      <c r="P184" s="1234">
        <f t="shared" si="166"/>
        <v>9672.9804361236529</v>
      </c>
      <c r="Q184" s="467">
        <f t="shared" si="138"/>
        <v>67882.068543774949</v>
      </c>
      <c r="R184" s="467">
        <f t="shared" si="164"/>
        <v>37768.596870824171</v>
      </c>
      <c r="S184" s="1255">
        <f t="shared" si="139"/>
        <v>1.223684871229491</v>
      </c>
      <c r="T184" s="118" t="str">
        <f t="shared" si="140"/>
        <v>No</v>
      </c>
      <c r="U184" s="1259">
        <f t="shared" si="141"/>
        <v>1</v>
      </c>
      <c r="V184" s="1247">
        <f t="shared" si="142"/>
        <v>73186.319788703258</v>
      </c>
      <c r="W184" s="1244">
        <f t="shared" si="134"/>
        <v>0.29663005775103268</v>
      </c>
      <c r="X184" s="473">
        <f t="shared" si="143"/>
        <v>37017.425400090113</v>
      </c>
      <c r="Y184" s="474">
        <f t="shared" si="144"/>
        <v>16346.183235870674</v>
      </c>
      <c r="Z184" s="116">
        <f t="shared" si="145"/>
        <v>3241.8415741695385</v>
      </c>
      <c r="AA184" s="116">
        <f t="shared" si="146"/>
        <v>0</v>
      </c>
      <c r="AB184" s="116">
        <f t="shared" si="147"/>
        <v>16580.869578572932</v>
      </c>
      <c r="AC184" s="116">
        <f t="shared" si="148"/>
        <v>73186.319788703258</v>
      </c>
      <c r="AD184" s="475">
        <f t="shared" si="149"/>
        <v>6903.9537271393347</v>
      </c>
      <c r="AE184" s="579">
        <f t="shared" si="150"/>
        <v>0.50579706025611593</v>
      </c>
      <c r="AF184" s="100">
        <f t="shared" si="151"/>
        <v>0.22335025566340616</v>
      </c>
      <c r="AG184" s="100">
        <f t="shared" si="152"/>
        <v>4.429573154558232E-2</v>
      </c>
      <c r="AH184" s="100">
        <f t="shared" si="165"/>
        <v>0</v>
      </c>
      <c r="AI184" s="100">
        <f t="shared" si="153"/>
        <v>0.22655695253489558</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4678.6267528880244</v>
      </c>
      <c r="D185" s="204">
        <f>'Input data'!E125</f>
        <v>48538822.712079689</v>
      </c>
      <c r="E185" s="473">
        <f>'Input data'!J125*C185</f>
        <v>56288.771934824821</v>
      </c>
      <c r="F185" s="474">
        <f>'Input data'!L125</f>
        <v>104827.5946469045</v>
      </c>
      <c r="G185" s="489">
        <f t="shared" si="167"/>
        <v>28060.280422522315</v>
      </c>
      <c r="H185" s="474">
        <f t="shared" si="160"/>
        <v>49789.985615151316</v>
      </c>
      <c r="I185" s="475">
        <f t="shared" si="135"/>
        <v>48538.822712079687</v>
      </c>
      <c r="J185" s="579">
        <f t="shared" si="161"/>
        <v>0.26982605330583315</v>
      </c>
      <c r="K185" s="474">
        <f t="shared" si="162"/>
        <v>10109.584192511804</v>
      </c>
      <c r="L185" s="474">
        <f t="shared" si="136"/>
        <v>0</v>
      </c>
      <c r="M185" s="475">
        <f t="shared" si="163"/>
        <v>10109.584192511804</v>
      </c>
      <c r="N185" s="579">
        <f>($N$147-$N$142)/($A$107-$A$102)+N184</f>
        <v>0.5</v>
      </c>
      <c r="O185" s="475">
        <f t="shared" si="137"/>
        <v>751.91700000000026</v>
      </c>
      <c r="P185" s="1234">
        <f t="shared" si="166"/>
        <v>10861.501192511803</v>
      </c>
      <c r="Q185" s="467">
        <f t="shared" si="138"/>
        <v>66988.76484516183</v>
      </c>
      <c r="R185" s="467">
        <f t="shared" si="164"/>
        <v>38928.484422639514</v>
      </c>
      <c r="S185" s="1255">
        <f t="shared" si="139"/>
        <v>1.2339844596289533</v>
      </c>
      <c r="T185" s="118" t="str">
        <f t="shared" si="140"/>
        <v>No</v>
      </c>
      <c r="U185" s="1259">
        <f t="shared" si="141"/>
        <v>1</v>
      </c>
      <c r="V185" s="1247">
        <f t="shared" si="142"/>
        <v>73280.613549310365</v>
      </c>
      <c r="W185" s="1244">
        <f t="shared" si="134"/>
        <v>0.30094157176700709</v>
      </c>
      <c r="X185" s="473">
        <f t="shared" si="143"/>
        <v>35441.783747567686</v>
      </c>
      <c r="Y185" s="474">
        <f t="shared" si="144"/>
        <v>17604.539191827451</v>
      </c>
      <c r="Z185" s="116">
        <f t="shared" si="145"/>
        <v>3295.5782878286518</v>
      </c>
      <c r="AA185" s="116">
        <f t="shared" si="146"/>
        <v>0</v>
      </c>
      <c r="AB185" s="116">
        <f t="shared" si="147"/>
        <v>16938.71232208658</v>
      </c>
      <c r="AC185" s="116">
        <f t="shared" si="148"/>
        <v>73280.613549310365</v>
      </c>
      <c r="AD185" s="475">
        <f t="shared" si="149"/>
        <v>7381.5033250453707</v>
      </c>
      <c r="AE185" s="579">
        <f t="shared" si="150"/>
        <v>0.48364474628366733</v>
      </c>
      <c r="AF185" s="100">
        <f t="shared" si="151"/>
        <v>0.2402346042037625</v>
      </c>
      <c r="AG185" s="100">
        <f t="shared" si="152"/>
        <v>4.4972034596995621E-2</v>
      </c>
      <c r="AH185" s="100">
        <f t="shared" si="165"/>
        <v>0</v>
      </c>
      <c r="AI185" s="100">
        <f t="shared" si="153"/>
        <v>0.23114861491557459</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4782.707139404285</v>
      </c>
      <c r="D186" s="204">
        <f>'Input data'!E126</f>
        <v>47372560.213695109</v>
      </c>
      <c r="E186" s="473">
        <f>'Input data'!J126*C186</f>
        <v>57540.967813858311</v>
      </c>
      <c r="F186" s="474">
        <f>'Input data'!L126</f>
        <v>104913.52802755342</v>
      </c>
      <c r="G186" s="489">
        <f t="shared" si="167"/>
        <v>26007.089172093853</v>
      </c>
      <c r="H186" s="474">
        <f t="shared" si="160"/>
        <v>51467.21409727697</v>
      </c>
      <c r="I186" s="475">
        <f t="shared" si="135"/>
        <v>47372.560213695106</v>
      </c>
      <c r="J186" s="579">
        <f t="shared" si="161"/>
        <v>0.2958608426446665</v>
      </c>
      <c r="K186" s="474">
        <f t="shared" si="162"/>
        <v>11100.011630442761</v>
      </c>
      <c r="L186" s="474">
        <f t="shared" si="136"/>
        <v>0</v>
      </c>
      <c r="M186" s="475">
        <f t="shared" si="163"/>
        <v>11100.011630442761</v>
      </c>
      <c r="N186" s="579">
        <f>($N$147-$N$142)/($A$107-$A$102)+N185</f>
        <v>0.5</v>
      </c>
      <c r="O186" s="475">
        <f t="shared" si="137"/>
        <v>751.91700000000026</v>
      </c>
      <c r="P186" s="1234">
        <f t="shared" si="166"/>
        <v>11851.928630442761</v>
      </c>
      <c r="Q186" s="467">
        <f t="shared" si="138"/>
        <v>65622.374638928057</v>
      </c>
      <c r="R186" s="467">
        <f t="shared" si="164"/>
        <v>39615.285466834204</v>
      </c>
      <c r="S186" s="1255">
        <f t="shared" si="139"/>
        <v>1.2277908433668587</v>
      </c>
      <c r="T186" s="118" t="str">
        <f t="shared" si="140"/>
        <v>No</v>
      </c>
      <c r="U186" s="1259">
        <f t="shared" si="141"/>
        <v>1</v>
      </c>
      <c r="V186" s="1247">
        <f t="shared" si="142"/>
        <v>72648.02801926143</v>
      </c>
      <c r="W186" s="1244">
        <f t="shared" si="134"/>
        <v>0.30754375164867309</v>
      </c>
      <c r="X186" s="473">
        <f t="shared" si="143"/>
        <v>33356.87463063607</v>
      </c>
      <c r="Y186" s="474">
        <f t="shared" si="144"/>
        <v>18623.45932879344</v>
      </c>
      <c r="Z186" s="116">
        <f t="shared" si="145"/>
        <v>3352.1643896886117</v>
      </c>
      <c r="AA186" s="116">
        <f t="shared" si="146"/>
        <v>0</v>
      </c>
      <c r="AB186" s="116">
        <f t="shared" si="147"/>
        <v>17315.529670143307</v>
      </c>
      <c r="AC186" s="116">
        <f t="shared" si="148"/>
        <v>72648.02801926143</v>
      </c>
      <c r="AD186" s="475">
        <f t="shared" si="149"/>
        <v>7349.7854585422174</v>
      </c>
      <c r="AE186" s="579">
        <f t="shared" si="150"/>
        <v>0.45915733076460169</v>
      </c>
      <c r="AF186" s="100">
        <f t="shared" si="151"/>
        <v>0.25635189056825791</v>
      </c>
      <c r="AG186" s="100">
        <f t="shared" si="152"/>
        <v>4.614253794748345E-2</v>
      </c>
      <c r="AH186" s="100">
        <f t="shared" si="165"/>
        <v>0</v>
      </c>
      <c r="AI186" s="100">
        <f t="shared" si="153"/>
        <v>0.23834824071965696</v>
      </c>
      <c r="AJ186" s="100">
        <f t="shared" si="154"/>
        <v>1</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4895.4664822406658</v>
      </c>
      <c r="D187" s="204">
        <f>'Input data'!E127</f>
        <v>47544656.205152296</v>
      </c>
      <c r="E187" s="473">
        <f>'Input data'!J127*C187</f>
        <v>58897.58061237228</v>
      </c>
      <c r="F187" s="474">
        <f>'Input data'!L127</f>
        <v>106442.23681752456</v>
      </c>
      <c r="G187" s="489">
        <f>G177*(1-E5)</f>
        <v>23953.89792166539</v>
      </c>
      <c r="H187" s="474">
        <f t="shared" si="160"/>
        <v>54460.343302584144</v>
      </c>
      <c r="I187" s="475">
        <f t="shared" si="135"/>
        <v>47544.656205152292</v>
      </c>
      <c r="J187" s="579">
        <f t="shared" si="161"/>
        <v>0.32189563198349985</v>
      </c>
      <c r="K187" s="474">
        <f t="shared" si="162"/>
        <v>12378.151084883968</v>
      </c>
      <c r="L187" s="474">
        <f t="shared" si="136"/>
        <v>0</v>
      </c>
      <c r="M187" s="475">
        <f t="shared" si="163"/>
        <v>12378.151084883968</v>
      </c>
      <c r="N187" s="579">
        <f>$C$27</f>
        <v>0.5</v>
      </c>
      <c r="O187" s="475">
        <f t="shared" si="137"/>
        <v>751.91700000000026</v>
      </c>
      <c r="P187" s="1234">
        <f t="shared" si="166"/>
        <v>13130.068084883967</v>
      </c>
      <c r="Q187" s="467">
        <f t="shared" si="138"/>
        <v>65284.173139365565</v>
      </c>
      <c r="R187" s="467">
        <f t="shared" si="164"/>
        <v>41330.275217700175</v>
      </c>
      <c r="S187" s="1255">
        <f t="shared" si="139"/>
        <v>1.2507673905933612</v>
      </c>
      <c r="T187" s="118" t="str">
        <f t="shared" si="140"/>
        <v>No</v>
      </c>
      <c r="U187" s="1259">
        <f t="shared" si="141"/>
        <v>1</v>
      </c>
      <c r="V187" s="1247">
        <f t="shared" si="142"/>
        <v>73398.302726715585</v>
      </c>
      <c r="W187" s="1244">
        <f t="shared" si="134"/>
        <v>0.31044005724397417</v>
      </c>
      <c r="X187" s="473">
        <f t="shared" si="143"/>
        <v>32240.23904855657</v>
      </c>
      <c r="Y187" s="474">
        <f t="shared" si="144"/>
        <v>20020.825933571552</v>
      </c>
      <c r="Z187" s="116">
        <f t="shared" si="145"/>
        <v>3413.4690396132614</v>
      </c>
      <c r="AA187" s="116">
        <f t="shared" si="146"/>
        <v>0</v>
      </c>
      <c r="AB187" s="116">
        <f t="shared" si="147"/>
        <v>17723.768704974198</v>
      </c>
      <c r="AC187" s="116">
        <f t="shared" si="148"/>
        <v>73398.302726715585</v>
      </c>
      <c r="AD187" s="475">
        <f t="shared" si="149"/>
        <v>8286.3411268911805</v>
      </c>
      <c r="AE187" s="579">
        <f t="shared" si="150"/>
        <v>0.4392504710714753</v>
      </c>
      <c r="AF187" s="100">
        <f t="shared" si="151"/>
        <v>0.27276960351679019</v>
      </c>
      <c r="AG187" s="100">
        <f t="shared" si="152"/>
        <v>4.6506103176835775E-2</v>
      </c>
      <c r="AH187" s="100">
        <f t="shared" si="165"/>
        <v>0</v>
      </c>
      <c r="AI187" s="100">
        <f t="shared" si="153"/>
        <v>0.24147382223489869</v>
      </c>
      <c r="AJ187" s="100">
        <f t="shared" si="154"/>
        <v>0.99999999999999989</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5007.2618284439486</v>
      </c>
      <c r="D188" s="204">
        <f>'Input data'!E128</f>
        <v>47264829.111875661</v>
      </c>
      <c r="E188" s="473">
        <f>'Input data'!J128*C188</f>
        <v>60242.595523409356</v>
      </c>
      <c r="F188" s="474">
        <f>'Input data'!L128</f>
        <v>107507.42463528502</v>
      </c>
      <c r="G188" s="489">
        <f>($G$152-$G$147)/($A$152-$A$147)+G187</f>
        <v>21900.706671236927</v>
      </c>
      <c r="H188" s="474">
        <f t="shared" si="160"/>
        <v>57022.709316633642</v>
      </c>
      <c r="I188" s="475">
        <f t="shared" si="135"/>
        <v>47264.829111875661</v>
      </c>
      <c r="J188" s="579">
        <f t="shared" si="161"/>
        <v>0.34793042132233321</v>
      </c>
      <c r="K188" s="474">
        <f t="shared" si="162"/>
        <v>13535.828559700056</v>
      </c>
      <c r="L188" s="474">
        <f t="shared" si="136"/>
        <v>0</v>
      </c>
      <c r="M188" s="475">
        <f t="shared" si="163"/>
        <v>13535.828559700056</v>
      </c>
      <c r="N188" s="579">
        <f>N187</f>
        <v>0.5</v>
      </c>
      <c r="O188" s="475">
        <f t="shared" si="137"/>
        <v>751.91700000000026</v>
      </c>
      <c r="P188" s="1234">
        <f t="shared" si="166"/>
        <v>14287.745559700055</v>
      </c>
      <c r="Q188" s="467">
        <f t="shared" si="138"/>
        <v>64635.670428170517</v>
      </c>
      <c r="R188" s="467">
        <f t="shared" si="164"/>
        <v>42734.96375693359</v>
      </c>
      <c r="S188" s="1255">
        <f t="shared" si="139"/>
        <v>1.263760532720952</v>
      </c>
      <c r="T188" s="118" t="str">
        <f t="shared" si="140"/>
        <v>No</v>
      </c>
      <c r="U188" s="1259">
        <f t="shared" si="141"/>
        <v>1</v>
      </c>
      <c r="V188" s="1247">
        <f t="shared" si="142"/>
        <v>73691.711412367193</v>
      </c>
      <c r="W188" s="1244">
        <f t="shared" si="134"/>
        <v>0.31454304981852543</v>
      </c>
      <c r="X188" s="473">
        <f t="shared" si="143"/>
        <v>30819.957205252682</v>
      </c>
      <c r="Y188" s="474">
        <f t="shared" si="144"/>
        <v>21268.986977569155</v>
      </c>
      <c r="Z188" s="116">
        <f t="shared" si="145"/>
        <v>3474.2495868371143</v>
      </c>
      <c r="AA188" s="116">
        <f t="shared" si="146"/>
        <v>0</v>
      </c>
      <c r="AB188" s="116">
        <f t="shared" si="147"/>
        <v>18128.517642708237</v>
      </c>
      <c r="AC188" s="116">
        <f t="shared" si="148"/>
        <v>73691.711412367193</v>
      </c>
      <c r="AD188" s="475">
        <f t="shared" si="149"/>
        <v>8919.250534015755</v>
      </c>
      <c r="AE188" s="579">
        <f t="shared" si="150"/>
        <v>0.41822827309287286</v>
      </c>
      <c r="AF188" s="100">
        <f t="shared" si="151"/>
        <v>0.28862115657148008</v>
      </c>
      <c r="AG188" s="100">
        <f t="shared" si="152"/>
        <v>4.7145730778265706E-2</v>
      </c>
      <c r="AH188" s="100">
        <f t="shared" si="165"/>
        <v>0</v>
      </c>
      <c r="AI188" s="100">
        <f t="shared" si="153"/>
        <v>0.24600483955738131</v>
      </c>
      <c r="AJ188" s="100">
        <f t="shared" si="154"/>
        <v>0.99999999999999989</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5127.4326756514902</v>
      </c>
      <c r="D189" s="204">
        <f>'Input data'!E129</f>
        <v>45911028.865820996</v>
      </c>
      <c r="E189" s="473">
        <f>'Input data'!J129*C189</f>
        <v>61688.376469176088</v>
      </c>
      <c r="F189" s="474">
        <f>'Input data'!L129</f>
        <v>107599.40533499708</v>
      </c>
      <c r="G189" s="489">
        <f t="shared" ref="G189:G191" si="168">($G$152-$G$147)/($A$152-$A$147)+G188</f>
        <v>19847.515420808464</v>
      </c>
      <c r="H189" s="474">
        <f t="shared" si="160"/>
        <v>58635.023064926318</v>
      </c>
      <c r="I189" s="475">
        <f t="shared" si="135"/>
        <v>45911.028865820997</v>
      </c>
      <c r="J189" s="579">
        <f t="shared" si="161"/>
        <v>0.37396521066116656</v>
      </c>
      <c r="K189" s="474">
        <f t="shared" si="162"/>
        <v>14343.407578208971</v>
      </c>
      <c r="L189" s="474">
        <f t="shared" si="136"/>
        <v>0</v>
      </c>
      <c r="M189" s="475">
        <f t="shared" si="163"/>
        <v>14343.407578208971</v>
      </c>
      <c r="N189" s="579">
        <f t="shared" ref="N189:N210" si="169">N188</f>
        <v>0.5</v>
      </c>
      <c r="O189" s="475">
        <f t="shared" si="137"/>
        <v>751.91700000000026</v>
      </c>
      <c r="P189" s="1234">
        <f t="shared" si="166"/>
        <v>15095.324578208971</v>
      </c>
      <c r="Q189" s="467">
        <f t="shared" si="138"/>
        <v>63387.213907525809</v>
      </c>
      <c r="R189" s="467">
        <f t="shared" si="164"/>
        <v>43539.698486717345</v>
      </c>
      <c r="S189" s="1255">
        <f t="shared" si="139"/>
        <v>1.2567269621802555</v>
      </c>
      <c r="T189" s="118" t="str">
        <f t="shared" si="140"/>
        <v>No</v>
      </c>
      <c r="U189" s="1259">
        <f t="shared" si="141"/>
        <v>1</v>
      </c>
      <c r="V189" s="1247">
        <f t="shared" si="142"/>
        <v>72954.092711814621</v>
      </c>
      <c r="W189" s="1244">
        <f t="shared" si="134"/>
        <v>0.32198423880985849</v>
      </c>
      <c r="X189" s="473">
        <f t="shared" si="143"/>
        <v>28741.901284343348</v>
      </c>
      <c r="Y189" s="474">
        <f t="shared" si="144"/>
        <v>22109.018103152037</v>
      </c>
      <c r="Z189" s="116">
        <f t="shared" si="145"/>
        <v>3539.5837004803343</v>
      </c>
      <c r="AA189" s="116">
        <f t="shared" si="146"/>
        <v>0</v>
      </c>
      <c r="AB189" s="116">
        <f t="shared" si="147"/>
        <v>18563.58962383891</v>
      </c>
      <c r="AC189" s="116">
        <f t="shared" si="148"/>
        <v>72954.092711814621</v>
      </c>
      <c r="AD189" s="475">
        <f t="shared" si="149"/>
        <v>8894.3858635348843</v>
      </c>
      <c r="AE189" s="579">
        <f t="shared" si="150"/>
        <v>0.39397243137380167</v>
      </c>
      <c r="AF189" s="100">
        <f t="shared" si="151"/>
        <v>0.3030538422359349</v>
      </c>
      <c r="AG189" s="100">
        <f t="shared" si="152"/>
        <v>4.8517959293421696E-2</v>
      </c>
      <c r="AH189" s="100">
        <f t="shared" si="165"/>
        <v>0</v>
      </c>
      <c r="AI189" s="100">
        <f t="shared" si="153"/>
        <v>0.25445576709684187</v>
      </c>
      <c r="AJ189" s="100">
        <f t="shared" si="154"/>
        <v>1.0000000000000002</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5247.6087278453806</v>
      </c>
      <c r="D190" s="204">
        <f>'Input data'!E130</f>
        <v>43025080.542663962</v>
      </c>
      <c r="E190" s="473">
        <f>'Input data'!J130*C190</f>
        <v>63134.220036371073</v>
      </c>
      <c r="F190" s="474">
        <f>'Input data'!L130</f>
        <v>106159.30057903504</v>
      </c>
      <c r="G190" s="489">
        <f t="shared" si="168"/>
        <v>17794.324170380001</v>
      </c>
      <c r="H190" s="474">
        <f t="shared" si="160"/>
        <v>58809.524918076582</v>
      </c>
      <c r="I190" s="475">
        <f t="shared" si="135"/>
        <v>43025.080542663964</v>
      </c>
      <c r="J190" s="100">
        <f>$H$19</f>
        <v>0.4</v>
      </c>
      <c r="K190" s="474">
        <f t="shared" si="162"/>
        <v>14561.935806789734</v>
      </c>
      <c r="L190" s="474">
        <f t="shared" si="136"/>
        <v>0</v>
      </c>
      <c r="M190" s="475">
        <f t="shared" si="163"/>
        <v>14561.935806789734</v>
      </c>
      <c r="N190" s="579">
        <f t="shared" si="169"/>
        <v>0.5</v>
      </c>
      <c r="O190" s="475">
        <f t="shared" si="137"/>
        <v>751.91700000000026</v>
      </c>
      <c r="P190" s="1234">
        <f t="shared" si="166"/>
        <v>15313.852806789733</v>
      </c>
      <c r="Q190" s="467">
        <f t="shared" si="138"/>
        <v>61289.996281666849</v>
      </c>
      <c r="R190" s="467">
        <f t="shared" si="164"/>
        <v>43495.672111286847</v>
      </c>
      <c r="S190" s="1255">
        <f t="shared" si="139"/>
        <v>1.2260954453027273</v>
      </c>
      <c r="T190" s="118" t="str">
        <f t="shared" si="140"/>
        <v>No</v>
      </c>
      <c r="U190" s="1259">
        <f t="shared" si="141"/>
        <v>1</v>
      </c>
      <c r="V190" s="1247">
        <f t="shared" si="142"/>
        <v>70684.352622966573</v>
      </c>
      <c r="W190" s="1244">
        <f t="shared" si="134"/>
        <v>0.33416712207572952</v>
      </c>
      <c r="X190" s="473">
        <f t="shared" si="143"/>
        <v>25815.048325598378</v>
      </c>
      <c r="Y190" s="474">
        <f t="shared" si="144"/>
        <v>22265.703204075762</v>
      </c>
      <c r="Z190" s="116">
        <f t="shared" si="145"/>
        <v>3604.9206439543955</v>
      </c>
      <c r="AA190" s="116">
        <f t="shared" si="146"/>
        <v>0</v>
      </c>
      <c r="AB190" s="116">
        <f t="shared" si="147"/>
        <v>18998.680449338044</v>
      </c>
      <c r="AC190" s="116">
        <f t="shared" si="148"/>
        <v>70684.352622966573</v>
      </c>
      <c r="AD190" s="475">
        <f t="shared" si="149"/>
        <v>8020.7241552183768</v>
      </c>
      <c r="AE190" s="579">
        <f t="shared" si="150"/>
        <v>0.36521588396369664</v>
      </c>
      <c r="AF190" s="100">
        <f t="shared" si="151"/>
        <v>0.3150018692657765</v>
      </c>
      <c r="AG190" s="100">
        <f t="shared" si="152"/>
        <v>5.1000263993124476E-2</v>
      </c>
      <c r="AH190" s="100">
        <f t="shared" si="165"/>
        <v>0</v>
      </c>
      <c r="AI190" s="100">
        <f t="shared" si="153"/>
        <v>0.26878198277740245</v>
      </c>
      <c r="AJ190" s="100">
        <f t="shared" si="154"/>
        <v>1</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5388.2194214943684</v>
      </c>
      <c r="D191" s="204">
        <f>'Input data'!E131</f>
        <v>41478479.110071354</v>
      </c>
      <c r="E191" s="473">
        <f>'Input data'!J131*C191</f>
        <v>64825.913707279899</v>
      </c>
      <c r="F191" s="474">
        <f>'Input data'!L131</f>
        <v>106304.39281735125</v>
      </c>
      <c r="G191" s="489">
        <f t="shared" si="168"/>
        <v>15741.132919951538</v>
      </c>
      <c r="H191" s="474">
        <f t="shared" si="160"/>
        <v>60382.010429382244</v>
      </c>
      <c r="I191" s="475">
        <f t="shared" si="135"/>
        <v>41478.479110071356</v>
      </c>
      <c r="J191" s="100">
        <f>J190</f>
        <v>0.4</v>
      </c>
      <c r="K191" s="474">
        <f t="shared" si="162"/>
        <v>14038.485054436811</v>
      </c>
      <c r="L191" s="474">
        <f t="shared" si="136"/>
        <v>0</v>
      </c>
      <c r="M191" s="475">
        <f t="shared" si="163"/>
        <v>14038.485054436811</v>
      </c>
      <c r="N191" s="579">
        <f t="shared" si="169"/>
        <v>0.5</v>
      </c>
      <c r="O191" s="475">
        <f t="shared" si="137"/>
        <v>751.91700000000026</v>
      </c>
      <c r="P191" s="1234">
        <f t="shared" si="166"/>
        <v>14790.40205443681</v>
      </c>
      <c r="Q191" s="467">
        <f t="shared" si="138"/>
        <v>61332.741294896972</v>
      </c>
      <c r="R191" s="467">
        <f t="shared" si="164"/>
        <v>45591.608374945434</v>
      </c>
      <c r="S191" s="1255">
        <f t="shared" si="139"/>
        <v>1.2509477423299891</v>
      </c>
      <c r="T191" s="118" t="str">
        <f t="shared" si="140"/>
        <v>No</v>
      </c>
      <c r="U191" s="1259">
        <f t="shared" si="141"/>
        <v>1</v>
      </c>
      <c r="V191" s="1247">
        <f t="shared" si="142"/>
        <v>69858.738988497091</v>
      </c>
      <c r="W191" s="1244">
        <f t="shared" si="134"/>
        <v>0.34284240625384033</v>
      </c>
      <c r="X191" s="473">
        <f t="shared" si="143"/>
        <v>24887.087466042813</v>
      </c>
      <c r="Y191" s="474">
        <f t="shared" si="144"/>
        <v>21782.53031569524</v>
      </c>
      <c r="Z191" s="116">
        <f t="shared" si="145"/>
        <v>3681.3674299410918</v>
      </c>
      <c r="AA191" s="116">
        <f t="shared" si="146"/>
        <v>0</v>
      </c>
      <c r="AB191" s="116">
        <f t="shared" si="147"/>
        <v>19507.753776817954</v>
      </c>
      <c r="AC191" s="116">
        <f t="shared" si="148"/>
        <v>69858.738988497091</v>
      </c>
      <c r="AD191" s="475">
        <f t="shared" si="149"/>
        <v>9145.9545460912741</v>
      </c>
      <c r="AE191" s="579">
        <f t="shared" si="150"/>
        <v>0.35624873604060775</v>
      </c>
      <c r="AF191" s="100">
        <f t="shared" si="151"/>
        <v>0.31180823803993857</v>
      </c>
      <c r="AG191" s="100">
        <f t="shared" si="152"/>
        <v>5.269730721230545E-2</v>
      </c>
      <c r="AH191" s="100">
        <f t="shared" si="165"/>
        <v>0</v>
      </c>
      <c r="AI191" s="100">
        <f t="shared" si="153"/>
        <v>0.27924571870714832</v>
      </c>
      <c r="AJ191" s="100">
        <f t="shared" si="154"/>
        <v>1</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5536.7385220125598</v>
      </c>
      <c r="D192" s="204">
        <f>'Input data'!E132</f>
        <v>41255345.957373768</v>
      </c>
      <c r="E192" s="473">
        <f>'Input data'!J132*C192</f>
        <v>66612.753782067521</v>
      </c>
      <c r="F192" s="474">
        <f>'Input data'!L132</f>
        <v>107868.0997394413</v>
      </c>
      <c r="G192" s="489">
        <f>G177*(1-E6)</f>
        <v>13687.941669523079</v>
      </c>
      <c r="H192" s="474">
        <f t="shared" si="160"/>
        <v>63251.103424816232</v>
      </c>
      <c r="I192" s="475">
        <f t="shared" si="135"/>
        <v>41255.345957373771</v>
      </c>
      <c r="J192" s="100">
        <f t="shared" ref="J192:J210" si="170">J191</f>
        <v>0.4</v>
      </c>
      <c r="K192" s="474">
        <f t="shared" si="162"/>
        <v>13962.965134311924</v>
      </c>
      <c r="L192" s="474">
        <f t="shared" si="136"/>
        <v>0</v>
      </c>
      <c r="M192" s="475">
        <f t="shared" si="163"/>
        <v>13962.965134311924</v>
      </c>
      <c r="N192" s="579">
        <f t="shared" si="169"/>
        <v>0.5</v>
      </c>
      <c r="O192" s="475">
        <f t="shared" si="137"/>
        <v>751.91700000000026</v>
      </c>
      <c r="P192" s="1234">
        <f t="shared" si="166"/>
        <v>14714.882134311923</v>
      </c>
      <c r="Q192" s="467">
        <f t="shared" si="138"/>
        <v>62224.162960027388</v>
      </c>
      <c r="R192" s="467">
        <f t="shared" si="164"/>
        <v>48536.221290504312</v>
      </c>
      <c r="S192" s="1255">
        <f t="shared" si="139"/>
        <v>1.2953024760386178</v>
      </c>
      <c r="T192" s="118" t="str">
        <f t="shared" si="140"/>
        <v>No</v>
      </c>
      <c r="U192" s="1259">
        <f t="shared" si="141"/>
        <v>1</v>
      </c>
      <c r="V192" s="1247">
        <f t="shared" si="142"/>
        <v>70397.144353838172</v>
      </c>
      <c r="W192" s="1244">
        <f t="shared" si="134"/>
        <v>0.34737754235140295</v>
      </c>
      <c r="X192" s="473">
        <f t="shared" si="143"/>
        <v>24753.207574424261</v>
      </c>
      <c r="Y192" s="474">
        <f t="shared" si="144"/>
        <v>21836.363886437786</v>
      </c>
      <c r="Z192" s="116">
        <f t="shared" si="145"/>
        <v>3762.1138340559442</v>
      </c>
      <c r="AA192" s="116">
        <f t="shared" si="146"/>
        <v>0</v>
      </c>
      <c r="AB192" s="116">
        <f t="shared" si="147"/>
        <v>20045.459058920187</v>
      </c>
      <c r="AC192" s="116">
        <f t="shared" si="148"/>
        <v>70397.144353838172</v>
      </c>
      <c r="AD192" s="475">
        <f t="shared" si="149"/>
        <v>11065.265904901182</v>
      </c>
      <c r="AE192" s="579">
        <f t="shared" si="150"/>
        <v>0.35162232504782948</v>
      </c>
      <c r="AF192" s="100">
        <f t="shared" si="151"/>
        <v>0.31018820559938282</v>
      </c>
      <c r="AG192" s="100">
        <f t="shared" si="152"/>
        <v>5.3441284708174774E-2</v>
      </c>
      <c r="AH192" s="100">
        <f t="shared" si="165"/>
        <v>0</v>
      </c>
      <c r="AI192" s="100">
        <f t="shared" si="153"/>
        <v>0.28474818464461299</v>
      </c>
      <c r="AJ192" s="100">
        <f t="shared" si="154"/>
        <v>1</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5692.5826618103829</v>
      </c>
      <c r="D193" s="204">
        <f>'Input data'!E133</f>
        <v>40262688.170007341</v>
      </c>
      <c r="E193" s="473">
        <f>'Input data'!J133*C193</f>
        <v>68487.721738646593</v>
      </c>
      <c r="F193" s="474">
        <f>'Input data'!L133</f>
        <v>108750.40990865394</v>
      </c>
      <c r="G193" s="489">
        <f>G192</f>
        <v>13687.941669523079</v>
      </c>
      <c r="H193" s="474">
        <f t="shared" si="160"/>
        <v>63395.411442229524</v>
      </c>
      <c r="I193" s="475">
        <f t="shared" si="135"/>
        <v>40262.688170007343</v>
      </c>
      <c r="J193" s="100">
        <f t="shared" si="170"/>
        <v>0.4</v>
      </c>
      <c r="K193" s="474">
        <f t="shared" si="162"/>
        <v>13626.997861376638</v>
      </c>
      <c r="L193" s="474">
        <f t="shared" si="136"/>
        <v>0</v>
      </c>
      <c r="M193" s="475">
        <f t="shared" si="163"/>
        <v>13626.997861376638</v>
      </c>
      <c r="N193" s="579">
        <f t="shared" si="169"/>
        <v>0.5</v>
      </c>
      <c r="O193" s="475">
        <f t="shared" si="137"/>
        <v>751.91700000000026</v>
      </c>
      <c r="P193" s="1234">
        <f t="shared" si="166"/>
        <v>14378.914861376637</v>
      </c>
      <c r="Q193" s="467">
        <f t="shared" si="138"/>
        <v>62704.438250375963</v>
      </c>
      <c r="R193" s="467">
        <f t="shared" si="164"/>
        <v>49016.49658085288</v>
      </c>
      <c r="S193" s="1255">
        <f t="shared" si="139"/>
        <v>1.2716091698307297</v>
      </c>
      <c r="T193" s="118" t="str">
        <f t="shared" si="140"/>
        <v>No</v>
      </c>
      <c r="U193" s="1259">
        <f t="shared" si="141"/>
        <v>1</v>
      </c>
      <c r="V193" s="1247">
        <f t="shared" si="142"/>
        <v>70203.584560282368</v>
      </c>
      <c r="W193" s="1244">
        <f t="shared" si="134"/>
        <v>0.35445223039388429</v>
      </c>
      <c r="X193" s="473">
        <f t="shared" si="143"/>
        <v>24157.612902004406</v>
      </c>
      <c r="Y193" s="474">
        <f t="shared" si="144"/>
        <v>21589.444720275085</v>
      </c>
      <c r="Z193" s="116">
        <f t="shared" si="145"/>
        <v>3846.8426928164727</v>
      </c>
      <c r="AA193" s="116">
        <f t="shared" si="146"/>
        <v>0</v>
      </c>
      <c r="AB193" s="116">
        <f t="shared" si="147"/>
        <v>20609.68424518641</v>
      </c>
      <c r="AC193" s="116">
        <f t="shared" si="148"/>
        <v>70203.584560282368</v>
      </c>
      <c r="AD193" s="475">
        <f t="shared" si="149"/>
        <v>10469.671232481327</v>
      </c>
      <c r="AE193" s="579">
        <f t="shared" si="150"/>
        <v>0.34410796903483987</v>
      </c>
      <c r="AF193" s="100">
        <f t="shared" si="151"/>
        <v>0.30752624464263184</v>
      </c>
      <c r="AG193" s="100">
        <f t="shared" si="152"/>
        <v>5.4795530981943924E-2</v>
      </c>
      <c r="AH193" s="100">
        <f t="shared" si="165"/>
        <v>0</v>
      </c>
      <c r="AI193" s="100">
        <f t="shared" si="153"/>
        <v>0.29357025534058451</v>
      </c>
      <c r="AJ193" s="100">
        <f t="shared" si="154"/>
        <v>1.0000000000000002</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5868.7539844737303</v>
      </c>
      <c r="D194" s="204">
        <f>'Input data'!E134</f>
        <v>39656259.723391399</v>
      </c>
      <c r="E194" s="473">
        <f>'Input data'!J134*C194</f>
        <v>70607.24695974536</v>
      </c>
      <c r="F194" s="474">
        <f>'Input data'!L134</f>
        <v>110263.50668313676</v>
      </c>
      <c r="G194" s="489">
        <f t="shared" ref="G194:G210" si="171">G193</f>
        <v>13687.941669523079</v>
      </c>
      <c r="H194" s="474">
        <f t="shared" si="160"/>
        <v>64042.505957456451</v>
      </c>
      <c r="I194" s="475">
        <f t="shared" si="135"/>
        <v>39656.259723391398</v>
      </c>
      <c r="J194" s="100">
        <f t="shared" si="170"/>
        <v>0.4</v>
      </c>
      <c r="K194" s="474">
        <f t="shared" si="162"/>
        <v>13421.750782239251</v>
      </c>
      <c r="L194" s="474">
        <f t="shared" si="136"/>
        <v>0</v>
      </c>
      <c r="M194" s="475">
        <f t="shared" si="163"/>
        <v>13421.750782239251</v>
      </c>
      <c r="N194" s="579">
        <f t="shared" si="169"/>
        <v>0.5</v>
      </c>
      <c r="O194" s="475">
        <f t="shared" si="137"/>
        <v>751.91700000000026</v>
      </c>
      <c r="P194" s="1234">
        <f t="shared" si="166"/>
        <v>14173.66778223925</v>
      </c>
      <c r="Q194" s="467">
        <f t="shared" si="138"/>
        <v>63556.779844740275</v>
      </c>
      <c r="R194" s="467">
        <f t="shared" si="164"/>
        <v>49868.838175217199</v>
      </c>
      <c r="S194" s="1255">
        <f t="shared" si="139"/>
        <v>1.2541510465046863</v>
      </c>
      <c r="T194" s="118" t="str">
        <f t="shared" si="140"/>
        <v>No</v>
      </c>
      <c r="U194" s="1259">
        <f t="shared" si="141"/>
        <v>1</v>
      </c>
      <c r="V194" s="1247">
        <f t="shared" si="142"/>
        <v>70500.482672431332</v>
      </c>
      <c r="W194" s="1244">
        <f t="shared" si="134"/>
        <v>0.36061817011653796</v>
      </c>
      <c r="X194" s="473">
        <f t="shared" si="143"/>
        <v>23793.755834034837</v>
      </c>
      <c r="Y194" s="474">
        <f t="shared" si="144"/>
        <v>21516.600981573767</v>
      </c>
      <c r="Z194" s="116">
        <f t="shared" si="145"/>
        <v>3942.6229713368125</v>
      </c>
      <c r="AA194" s="116">
        <f t="shared" si="146"/>
        <v>0</v>
      </c>
      <c r="AB194" s="116">
        <f t="shared" si="147"/>
        <v>21247.502885485916</v>
      </c>
      <c r="AC194" s="116">
        <f t="shared" si="148"/>
        <v>70500.482672431332</v>
      </c>
      <c r="AD194" s="475">
        <f t="shared" si="149"/>
        <v>10105.814164511758</v>
      </c>
      <c r="AE194" s="579">
        <f t="shared" si="150"/>
        <v>0.33749777210162563</v>
      </c>
      <c r="AF194" s="100">
        <f t="shared" si="151"/>
        <v>0.30519792441063198</v>
      </c>
      <c r="AG194" s="100">
        <f t="shared" si="152"/>
        <v>5.5923347215302753E-2</v>
      </c>
      <c r="AH194" s="100">
        <f t="shared" si="165"/>
        <v>0</v>
      </c>
      <c r="AI194" s="100">
        <f t="shared" si="153"/>
        <v>0.30138095627243966</v>
      </c>
      <c r="AJ194" s="100">
        <f t="shared" si="154"/>
        <v>1</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6036.7474148806386</v>
      </c>
      <c r="D195" s="204">
        <f>'Input data'!E135</f>
        <v>39791303.809178911</v>
      </c>
      <c r="E195" s="473">
        <f>'Input data'!J135*C195</f>
        <v>72628.383585975738</v>
      </c>
      <c r="F195" s="474">
        <f>'Input data'!L135</f>
        <v>112419.68739515464</v>
      </c>
      <c r="G195" s="489">
        <f t="shared" si="171"/>
        <v>13687.941669523079</v>
      </c>
      <c r="H195" s="474">
        <f t="shared" si="160"/>
        <v>65328.980971250305</v>
      </c>
      <c r="I195" s="475">
        <f t="shared" si="135"/>
        <v>39791.303809178913</v>
      </c>
      <c r="J195" s="100">
        <f t="shared" si="170"/>
        <v>0.4</v>
      </c>
      <c r="K195" s="474">
        <f t="shared" si="162"/>
        <v>13467.456758463384</v>
      </c>
      <c r="L195" s="474">
        <f t="shared" si="136"/>
        <v>0</v>
      </c>
      <c r="M195" s="475">
        <f t="shared" si="163"/>
        <v>13467.456758463384</v>
      </c>
      <c r="N195" s="579">
        <f t="shared" si="169"/>
        <v>0.5</v>
      </c>
      <c r="O195" s="475">
        <f t="shared" si="137"/>
        <v>751.91700000000026</v>
      </c>
      <c r="P195" s="1234">
        <f t="shared" si="166"/>
        <v>14219.373758463384</v>
      </c>
      <c r="Q195" s="467">
        <f t="shared" si="138"/>
        <v>64797.548882309995</v>
      </c>
      <c r="R195" s="467">
        <f t="shared" si="164"/>
        <v>51109.607212786912</v>
      </c>
      <c r="S195" s="1255">
        <f t="shared" si="139"/>
        <v>1.248928444070059</v>
      </c>
      <c r="T195" s="118" t="str">
        <f t="shared" si="140"/>
        <v>No</v>
      </c>
      <c r="U195" s="1259">
        <f t="shared" si="141"/>
        <v>1</v>
      </c>
      <c r="V195" s="1247">
        <f t="shared" si="142"/>
        <v>71496.920798352017</v>
      </c>
      <c r="W195" s="1244">
        <f t="shared" si="134"/>
        <v>0.36401779390258671</v>
      </c>
      <c r="X195" s="473">
        <f t="shared" si="143"/>
        <v>23874.782285507346</v>
      </c>
      <c r="Y195" s="474">
        <f t="shared" si="144"/>
        <v>21732.46748004089</v>
      </c>
      <c r="Z195" s="116">
        <f t="shared" si="145"/>
        <v>4033.9571187491515</v>
      </c>
      <c r="AA195" s="116">
        <f t="shared" si="146"/>
        <v>0</v>
      </c>
      <c r="AB195" s="116">
        <f t="shared" si="147"/>
        <v>21855.713914054621</v>
      </c>
      <c r="AC195" s="116">
        <f t="shared" si="148"/>
        <v>71496.920798352017</v>
      </c>
      <c r="AD195" s="475">
        <f t="shared" si="149"/>
        <v>10186.840615984267</v>
      </c>
      <c r="AE195" s="579">
        <f t="shared" si="150"/>
        <v>0.33392741979536628</v>
      </c>
      <c r="AF195" s="100">
        <f t="shared" si="151"/>
        <v>0.30396368455271738</v>
      </c>
      <c r="AG195" s="100">
        <f t="shared" si="152"/>
        <v>5.642141051257879E-2</v>
      </c>
      <c r="AH195" s="100">
        <f t="shared" si="165"/>
        <v>0</v>
      </c>
      <c r="AI195" s="100">
        <f t="shared" si="153"/>
        <v>0.30568748513933747</v>
      </c>
      <c r="AJ195" s="100">
        <f t="shared" si="154"/>
        <v>1</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6215.8972497914319</v>
      </c>
      <c r="D196" s="204">
        <f>'Input data'!E136</f>
        <v>39216082.697226301</v>
      </c>
      <c r="E196" s="473">
        <f>'Input data'!J136*C196</f>
        <v>74783.743423823558</v>
      </c>
      <c r="F196" s="474">
        <f>'Input data'!L136</f>
        <v>113999.82612104986</v>
      </c>
      <c r="G196" s="489">
        <f t="shared" si="171"/>
        <v>13687.941669523079</v>
      </c>
      <c r="H196" s="474">
        <f t="shared" si="160"/>
        <v>66025.92423848818</v>
      </c>
      <c r="I196" s="475">
        <f t="shared" si="135"/>
        <v>39216.082697226302</v>
      </c>
      <c r="J196" s="100">
        <f t="shared" si="170"/>
        <v>0.4</v>
      </c>
      <c r="K196" s="474">
        <f t="shared" si="162"/>
        <v>13272.771872315217</v>
      </c>
      <c r="L196" s="474">
        <f t="shared" si="136"/>
        <v>0</v>
      </c>
      <c r="M196" s="475">
        <f t="shared" si="163"/>
        <v>13272.771872315217</v>
      </c>
      <c r="N196" s="579">
        <f t="shared" si="169"/>
        <v>0.5</v>
      </c>
      <c r="O196" s="475">
        <f t="shared" si="137"/>
        <v>751.91700000000026</v>
      </c>
      <c r="P196" s="1234">
        <f t="shared" si="166"/>
        <v>14024.688872315217</v>
      </c>
      <c r="Q196" s="467">
        <f t="shared" si="138"/>
        <v>65689.177035696033</v>
      </c>
      <c r="R196" s="467">
        <f t="shared" si="164"/>
        <v>52001.235366172958</v>
      </c>
      <c r="S196" s="1255">
        <f t="shared" si="139"/>
        <v>1.2334397122478211</v>
      </c>
      <c r="T196" s="118" t="str">
        <f t="shared" si="140"/>
        <v>No</v>
      </c>
      <c r="U196" s="1259">
        <f t="shared" si="141"/>
        <v>1</v>
      </c>
      <c r="V196" s="1247">
        <f t="shared" si="142"/>
        <v>71840.298703689623</v>
      </c>
      <c r="W196" s="1244">
        <f t="shared" si="134"/>
        <v>0.3698209800126665</v>
      </c>
      <c r="X196" s="473">
        <f t="shared" si="143"/>
        <v>23529.649618335781</v>
      </c>
      <c r="Y196" s="474">
        <f t="shared" si="144"/>
        <v>21674.976244705002</v>
      </c>
      <c r="Z196" s="116">
        <f t="shared" si="145"/>
        <v>4131.3567455738785</v>
      </c>
      <c r="AA196" s="116">
        <f t="shared" si="146"/>
        <v>0</v>
      </c>
      <c r="AB196" s="116">
        <f t="shared" si="147"/>
        <v>22504.316095074952</v>
      </c>
      <c r="AC196" s="116">
        <f t="shared" si="148"/>
        <v>71840.298703689623</v>
      </c>
      <c r="AD196" s="475">
        <f t="shared" si="149"/>
        <v>9841.7079488127019</v>
      </c>
      <c r="AE196" s="579">
        <f t="shared" si="150"/>
        <v>0.32752716849613167</v>
      </c>
      <c r="AF196" s="100">
        <f t="shared" si="151"/>
        <v>0.3017105529322055</v>
      </c>
      <c r="AG196" s="100">
        <f t="shared" si="152"/>
        <v>5.7507510688589294E-2</v>
      </c>
      <c r="AH196" s="100">
        <f t="shared" si="165"/>
        <v>0</v>
      </c>
      <c r="AI196" s="100">
        <f t="shared" si="153"/>
        <v>0.31325476788307338</v>
      </c>
      <c r="AJ196" s="100">
        <f t="shared" si="154"/>
        <v>0.99999999999999978</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6413.8831516087803</v>
      </c>
      <c r="D197" s="204">
        <f>'Input data'!E137</f>
        <v>38325122.85038393</v>
      </c>
      <c r="E197" s="473">
        <f>'Input data'!J137*C197</f>
        <v>77165.720842053837</v>
      </c>
      <c r="F197" s="474">
        <f>'Input data'!L137</f>
        <v>115490.84369243777</v>
      </c>
      <c r="G197" s="489">
        <f t="shared" si="171"/>
        <v>13687.941669523079</v>
      </c>
      <c r="H197" s="474">
        <f t="shared" si="160"/>
        <v>66556.596557037235</v>
      </c>
      <c r="I197" s="475">
        <f t="shared" si="135"/>
        <v>38325.12285038393</v>
      </c>
      <c r="J197" s="100">
        <f t="shared" si="170"/>
        <v>0.4</v>
      </c>
      <c r="K197" s="474">
        <f t="shared" si="162"/>
        <v>12971.224497330513</v>
      </c>
      <c r="L197" s="474">
        <f t="shared" si="136"/>
        <v>0</v>
      </c>
      <c r="M197" s="475">
        <f t="shared" si="163"/>
        <v>12971.224497330513</v>
      </c>
      <c r="N197" s="579">
        <f t="shared" si="169"/>
        <v>0.5</v>
      </c>
      <c r="O197" s="475">
        <f t="shared" si="137"/>
        <v>751.91700000000026</v>
      </c>
      <c r="P197" s="1234">
        <f t="shared" si="166"/>
        <v>13723.141497330513</v>
      </c>
      <c r="Q197" s="467">
        <f t="shared" si="138"/>
        <v>66521.396729229804</v>
      </c>
      <c r="R197" s="467">
        <f t="shared" si="164"/>
        <v>52833.455059706728</v>
      </c>
      <c r="S197" s="1255">
        <f t="shared" si="139"/>
        <v>1.2138276655403368</v>
      </c>
      <c r="T197" s="118" t="str">
        <f t="shared" si="140"/>
        <v>No</v>
      </c>
      <c r="U197" s="1259">
        <f t="shared" si="141"/>
        <v>1</v>
      </c>
      <c r="V197" s="1247">
        <f t="shared" si="142"/>
        <v>71964.520673438325</v>
      </c>
      <c r="W197" s="1244">
        <f t="shared" si="134"/>
        <v>0.37688115895069452</v>
      </c>
      <c r="X197" s="473">
        <f t="shared" si="143"/>
        <v>22995.073710230357</v>
      </c>
      <c r="Y197" s="474">
        <f t="shared" si="144"/>
        <v>21509.336630014866</v>
      </c>
      <c r="Z197" s="116">
        <f t="shared" si="145"/>
        <v>4238.9971068567629</v>
      </c>
      <c r="AA197" s="116">
        <f t="shared" si="146"/>
        <v>0</v>
      </c>
      <c r="AB197" s="116">
        <f t="shared" si="147"/>
        <v>23221.113226336343</v>
      </c>
      <c r="AC197" s="116">
        <f t="shared" si="148"/>
        <v>71964.520673438325</v>
      </c>
      <c r="AD197" s="475">
        <f t="shared" si="149"/>
        <v>9307.1320407072781</v>
      </c>
      <c r="AE197" s="579">
        <f t="shared" si="150"/>
        <v>0.31953347976258673</v>
      </c>
      <c r="AF197" s="100">
        <f t="shared" si="151"/>
        <v>0.2988880691309021</v>
      </c>
      <c r="AG197" s="100">
        <f t="shared" si="152"/>
        <v>5.8903985841753152E-2</v>
      </c>
      <c r="AH197" s="100">
        <f t="shared" si="165"/>
        <v>0</v>
      </c>
      <c r="AI197" s="100">
        <f t="shared" si="153"/>
        <v>0.32267446526475813</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6601.8179471225203</v>
      </c>
      <c r="D198" s="204">
        <f>'Input data'!E138</f>
        <v>36655559.518641047</v>
      </c>
      <c r="E198" s="473">
        <f>'Input data'!J138*C198</f>
        <v>79426.772941745454</v>
      </c>
      <c r="F198" s="474">
        <f>'Input data'!L138</f>
        <v>116082.3324603865</v>
      </c>
      <c r="G198" s="489">
        <f t="shared" si="171"/>
        <v>13687.941669523079</v>
      </c>
      <c r="H198" s="474">
        <f t="shared" si="160"/>
        <v>66287.198865709492</v>
      </c>
      <c r="I198" s="475">
        <f t="shared" si="135"/>
        <v>36655.55951864105</v>
      </c>
      <c r="J198" s="100">
        <f t="shared" si="170"/>
        <v>0.4</v>
      </c>
      <c r="K198" s="474">
        <f t="shared" si="162"/>
        <v>12406.157012143547</v>
      </c>
      <c r="L198" s="474">
        <f t="shared" si="136"/>
        <v>0</v>
      </c>
      <c r="M198" s="475">
        <f t="shared" si="163"/>
        <v>12406.157012143547</v>
      </c>
      <c r="N198" s="579">
        <f t="shared" si="169"/>
        <v>0.5</v>
      </c>
      <c r="O198" s="475">
        <f t="shared" si="137"/>
        <v>751.91700000000026</v>
      </c>
      <c r="P198" s="1234">
        <f t="shared" si="166"/>
        <v>13158.074012143546</v>
      </c>
      <c r="Q198" s="467">
        <f t="shared" si="138"/>
        <v>66817.066523089015</v>
      </c>
      <c r="R198" s="467">
        <f t="shared" si="164"/>
        <v>53129.12485356594</v>
      </c>
      <c r="S198" s="1255">
        <f t="shared" si="139"/>
        <v>1.1852901106450466</v>
      </c>
      <c r="T198" s="118" t="str">
        <f t="shared" si="140"/>
        <v>No</v>
      </c>
      <c r="U198" s="1259">
        <f t="shared" si="141"/>
        <v>1</v>
      </c>
      <c r="V198" s="1247">
        <f t="shared" si="142"/>
        <v>71258.601648482116</v>
      </c>
      <c r="W198" s="1244">
        <f t="shared" si="134"/>
        <v>0.38613740663076912</v>
      </c>
      <c r="X198" s="473">
        <f t="shared" si="143"/>
        <v>21993.335711184631</v>
      </c>
      <c r="Y198" s="474">
        <f t="shared" si="144"/>
        <v>21022.572146631192</v>
      </c>
      <c r="Z198" s="116">
        <f t="shared" si="145"/>
        <v>4341.1729138260207</v>
      </c>
      <c r="AA198" s="116">
        <f t="shared" si="146"/>
        <v>0</v>
      </c>
      <c r="AB198" s="116">
        <f t="shared" si="147"/>
        <v>23901.520876840281</v>
      </c>
      <c r="AC198" s="116">
        <f t="shared" si="148"/>
        <v>71258.601648482116</v>
      </c>
      <c r="AD198" s="475">
        <f t="shared" si="149"/>
        <v>8305.3940416615515</v>
      </c>
      <c r="AE198" s="579">
        <f t="shared" si="150"/>
        <v>0.30864113527904335</v>
      </c>
      <c r="AF198" s="100">
        <f t="shared" si="151"/>
        <v>0.29501802814396083</v>
      </c>
      <c r="AG198" s="100">
        <f t="shared" si="152"/>
        <v>6.0921387922274674E-2</v>
      </c>
      <c r="AH198" s="100">
        <f t="shared" si="165"/>
        <v>0</v>
      </c>
      <c r="AI198" s="100">
        <f t="shared" si="153"/>
        <v>0.33541944865472123</v>
      </c>
      <c r="AJ198" s="100">
        <f t="shared" si="154"/>
        <v>1</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6791.0078131349956</v>
      </c>
      <c r="D199" s="204">
        <f>'Input data'!E139</f>
        <v>34985996.186898179</v>
      </c>
      <c r="E199" s="473">
        <f>'Input data'!J139*C199</f>
        <v>81702.924851872231</v>
      </c>
      <c r="F199" s="474">
        <f>'Input data'!L139</f>
        <v>116688.92103877041</v>
      </c>
      <c r="G199" s="489">
        <f t="shared" si="171"/>
        <v>13687.941669523079</v>
      </c>
      <c r="H199" s="474">
        <f t="shared" si="160"/>
        <v>66026.465553116155</v>
      </c>
      <c r="I199" s="475">
        <f t="shared" si="135"/>
        <v>34985.996186898177</v>
      </c>
      <c r="J199" s="100">
        <f t="shared" si="170"/>
        <v>0.4</v>
      </c>
      <c r="K199" s="474">
        <f t="shared" si="162"/>
        <v>11841.089526956583</v>
      </c>
      <c r="L199" s="474">
        <f t="shared" si="136"/>
        <v>0</v>
      </c>
      <c r="M199" s="475">
        <f t="shared" si="163"/>
        <v>11841.089526956583</v>
      </c>
      <c r="N199" s="579">
        <f t="shared" si="169"/>
        <v>0.5</v>
      </c>
      <c r="O199" s="475">
        <f t="shared" si="137"/>
        <v>751.91700000000026</v>
      </c>
      <c r="P199" s="1234">
        <f t="shared" si="166"/>
        <v>12593.006526956582</v>
      </c>
      <c r="Q199" s="467">
        <f t="shared" si="138"/>
        <v>67121.400695682649</v>
      </c>
      <c r="R199" s="467">
        <f t="shared" si="164"/>
        <v>53433.459026159573</v>
      </c>
      <c r="S199" s="1255">
        <f t="shared" si="139"/>
        <v>1.1583283597638887</v>
      </c>
      <c r="T199" s="118" t="str">
        <f t="shared" si="140"/>
        <v>No</v>
      </c>
      <c r="U199" s="1259">
        <f t="shared" si="141"/>
        <v>1</v>
      </c>
      <c r="V199" s="1247">
        <f t="shared" si="142"/>
        <v>70559.118055226674</v>
      </c>
      <c r="W199" s="1244">
        <f t="shared" si="134"/>
        <v>0.39532290274769877</v>
      </c>
      <c r="X199" s="473">
        <f t="shared" si="143"/>
        <v>20991.597712138904</v>
      </c>
      <c r="Y199" s="474">
        <f t="shared" si="144"/>
        <v>20537.016827999734</v>
      </c>
      <c r="Z199" s="116">
        <f t="shared" si="145"/>
        <v>4444.0310736329275</v>
      </c>
      <c r="AA199" s="116">
        <f t="shared" si="146"/>
        <v>0</v>
      </c>
      <c r="AB199" s="116">
        <f t="shared" si="147"/>
        <v>24586.472441455106</v>
      </c>
      <c r="AC199" s="116">
        <f t="shared" si="148"/>
        <v>70559.118055226674</v>
      </c>
      <c r="AD199" s="475">
        <f t="shared" si="149"/>
        <v>7303.6560426158248</v>
      </c>
      <c r="AE199" s="579">
        <f t="shared" si="150"/>
        <v>0.29750368613888806</v>
      </c>
      <c r="AF199" s="100">
        <f t="shared" si="151"/>
        <v>0.29106113276423601</v>
      </c>
      <c r="AG199" s="100">
        <f t="shared" si="152"/>
        <v>6.2983087035676677E-2</v>
      </c>
      <c r="AH199" s="100">
        <f t="shared" si="165"/>
        <v>0</v>
      </c>
      <c r="AI199" s="100">
        <f t="shared" si="153"/>
        <v>0.3484520940611992</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6984.5262976576987</v>
      </c>
      <c r="D200" s="204">
        <f>'Input data'!E140</f>
        <v>33316432.855155304</v>
      </c>
      <c r="E200" s="473">
        <f>'Input data'!J140*C200</f>
        <v>84031.154568796614</v>
      </c>
      <c r="F200" s="474">
        <f>'Input data'!L140</f>
        <v>117347.58742395192</v>
      </c>
      <c r="G200" s="489">
        <f t="shared" si="171"/>
        <v>13687.941669523079</v>
      </c>
      <c r="H200" s="474">
        <f t="shared" si="160"/>
        <v>65795.614856843706</v>
      </c>
      <c r="I200" s="475">
        <f t="shared" si="135"/>
        <v>33316.432855155304</v>
      </c>
      <c r="J200" s="100">
        <f t="shared" si="170"/>
        <v>0.4</v>
      </c>
      <c r="K200" s="474">
        <f t="shared" si="162"/>
        <v>11276.02204176962</v>
      </c>
      <c r="L200" s="474">
        <f t="shared" si="136"/>
        <v>0</v>
      </c>
      <c r="M200" s="475">
        <f t="shared" si="163"/>
        <v>11276.02204176962</v>
      </c>
      <c r="N200" s="579">
        <f t="shared" si="169"/>
        <v>0.5</v>
      </c>
      <c r="O200" s="475">
        <f t="shared" si="137"/>
        <v>751.91700000000026</v>
      </c>
      <c r="P200" s="1234">
        <f t="shared" si="166"/>
        <v>12027.93904176962</v>
      </c>
      <c r="Q200" s="467">
        <f t="shared" si="138"/>
        <v>67455.617484597169</v>
      </c>
      <c r="R200" s="467">
        <f t="shared" si="164"/>
        <v>53767.675815074093</v>
      </c>
      <c r="S200" s="1255">
        <f t="shared" si="139"/>
        <v>1.132767669567333</v>
      </c>
      <c r="T200" s="118" t="str">
        <f t="shared" si="140"/>
        <v>No</v>
      </c>
      <c r="U200" s="1259">
        <f t="shared" si="141"/>
        <v>1</v>
      </c>
      <c r="V200" s="1247">
        <f t="shared" si="142"/>
        <v>69881.829652447952</v>
      </c>
      <c r="W200" s="1244">
        <f t="shared" si="134"/>
        <v>0.4044885695009669</v>
      </c>
      <c r="X200" s="473">
        <f t="shared" si="143"/>
        <v>19989.859713093181</v>
      </c>
      <c r="Y200" s="474">
        <f t="shared" si="144"/>
        <v>20055.63180333472</v>
      </c>
      <c r="Z200" s="116">
        <f t="shared" si="145"/>
        <v>4549.242603331425</v>
      </c>
      <c r="AA200" s="116">
        <f t="shared" si="146"/>
        <v>0</v>
      </c>
      <c r="AB200" s="116">
        <f t="shared" si="147"/>
        <v>25287.095532688621</v>
      </c>
      <c r="AC200" s="116">
        <f t="shared" si="148"/>
        <v>69881.829652447952</v>
      </c>
      <c r="AD200" s="475">
        <f t="shared" si="149"/>
        <v>6301.9180435701019</v>
      </c>
      <c r="AE200" s="579">
        <f t="shared" si="150"/>
        <v>0.28605232307899281</v>
      </c>
      <c r="AF200" s="100">
        <f t="shared" si="151"/>
        <v>0.28699351323627192</v>
      </c>
      <c r="AG200" s="100">
        <f t="shared" si="152"/>
        <v>6.5099076912507048E-2</v>
      </c>
      <c r="AH200" s="100">
        <f t="shared" si="165"/>
        <v>0</v>
      </c>
      <c r="AI200" s="100">
        <f t="shared" si="153"/>
        <v>0.36185508677222816</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7185.3982187188903</v>
      </c>
      <c r="D201" s="204">
        <f>'Input data'!E141</f>
        <v>30696987.018642712</v>
      </c>
      <c r="E201" s="473">
        <f>'Input data'!J141*C201</f>
        <v>86447.853816229443</v>
      </c>
      <c r="F201" s="474">
        <f>'Input data'!L141</f>
        <v>117144.84083487216</v>
      </c>
      <c r="G201" s="489">
        <f t="shared" si="171"/>
        <v>13687.941669523079</v>
      </c>
      <c r="H201" s="474">
        <f t="shared" si="160"/>
        <v>64724.109222386993</v>
      </c>
      <c r="I201" s="475">
        <f t="shared" si="135"/>
        <v>30696.987018642711</v>
      </c>
      <c r="J201" s="100">
        <f t="shared" si="170"/>
        <v>0.4</v>
      </c>
      <c r="K201" s="474">
        <f t="shared" si="162"/>
        <v>10389.464674774455</v>
      </c>
      <c r="L201" s="474">
        <f t="shared" si="136"/>
        <v>0</v>
      </c>
      <c r="M201" s="475">
        <f t="shared" si="163"/>
        <v>10389.464674774455</v>
      </c>
      <c r="N201" s="579">
        <f t="shared" si="169"/>
        <v>0.5</v>
      </c>
      <c r="O201" s="475">
        <f t="shared" si="137"/>
        <v>751.91700000000026</v>
      </c>
      <c r="P201" s="1234">
        <f t="shared" si="166"/>
        <v>11141.381674774455</v>
      </c>
      <c r="Q201" s="467">
        <f t="shared" si="138"/>
        <v>67270.669217135612</v>
      </c>
      <c r="R201" s="467">
        <f t="shared" si="164"/>
        <v>53582.727547612536</v>
      </c>
      <c r="S201" s="1255">
        <f t="shared" si="139"/>
        <v>1.0968272405324797</v>
      </c>
      <c r="T201" s="118" t="str">
        <f t="shared" si="140"/>
        <v>No</v>
      </c>
      <c r="U201" s="1259">
        <f t="shared" si="141"/>
        <v>1</v>
      </c>
      <c r="V201" s="1247">
        <f t="shared" si="142"/>
        <v>68292.363828922185</v>
      </c>
      <c r="W201" s="1244">
        <f t="shared" si="134"/>
        <v>0.41702627838995165</v>
      </c>
      <c r="X201" s="473">
        <f t="shared" si="143"/>
        <v>18418.192211185626</v>
      </c>
      <c r="Y201" s="474">
        <f t="shared" si="144"/>
        <v>19201.378252318307</v>
      </c>
      <c r="Z201" s="116">
        <f t="shared" si="145"/>
        <v>4658.452026609255</v>
      </c>
      <c r="AA201" s="116">
        <f t="shared" si="146"/>
        <v>0</v>
      </c>
      <c r="AB201" s="116">
        <f t="shared" si="147"/>
        <v>26014.341338808998</v>
      </c>
      <c r="AC201" s="116">
        <f t="shared" si="148"/>
        <v>68292.363828922185</v>
      </c>
      <c r="AD201" s="475">
        <f t="shared" si="149"/>
        <v>4730.2505416625463</v>
      </c>
      <c r="AE201" s="579">
        <f t="shared" si="150"/>
        <v>0.26969621753501849</v>
      </c>
      <c r="AF201" s="100">
        <f t="shared" si="151"/>
        <v>0.2811643524365226</v>
      </c>
      <c r="AG201" s="100">
        <f t="shared" si="152"/>
        <v>6.8213366259792213E-2</v>
      </c>
      <c r="AH201" s="100">
        <f t="shared" si="165"/>
        <v>0</v>
      </c>
      <c r="AI201" s="100">
        <f t="shared" si="153"/>
        <v>0.38092606376866667</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7378.5415978844649</v>
      </c>
      <c r="D202" s="204">
        <f>'Input data'!E142</f>
        <v>28077541.182130113</v>
      </c>
      <c r="E202" s="473">
        <f>'Input data'!J142*C202</f>
        <v>88771.570623487351</v>
      </c>
      <c r="F202" s="474">
        <f>'Input data'!L142</f>
        <v>116849.11180561746</v>
      </c>
      <c r="G202" s="489">
        <f t="shared" si="171"/>
        <v>13687.941669523079</v>
      </c>
      <c r="H202" s="474">
        <f t="shared" si="160"/>
        <v>63599.249601747128</v>
      </c>
      <c r="I202" s="475">
        <f t="shared" si="135"/>
        <v>28077.541182130113</v>
      </c>
      <c r="J202" s="100">
        <f t="shared" si="170"/>
        <v>0.4</v>
      </c>
      <c r="K202" s="474">
        <f t="shared" si="162"/>
        <v>9502.9073077792909</v>
      </c>
      <c r="L202" s="474">
        <f t="shared" si="136"/>
        <v>0</v>
      </c>
      <c r="M202" s="475">
        <f t="shared" si="163"/>
        <v>9502.9073077792909</v>
      </c>
      <c r="N202" s="579">
        <f t="shared" si="169"/>
        <v>0.5</v>
      </c>
      <c r="O202" s="475">
        <f t="shared" si="137"/>
        <v>751.91700000000026</v>
      </c>
      <c r="P202" s="1234">
        <f t="shared" si="166"/>
        <v>10254.82430777929</v>
      </c>
      <c r="Q202" s="467">
        <f t="shared" si="138"/>
        <v>67032.366963490917</v>
      </c>
      <c r="R202" s="467">
        <f t="shared" si="164"/>
        <v>53344.425293967841</v>
      </c>
      <c r="S202" s="1255">
        <f t="shared" si="139"/>
        <v>1.0629377309990218</v>
      </c>
      <c r="T202" s="118" t="str">
        <f t="shared" si="140"/>
        <v>No</v>
      </c>
      <c r="U202" s="1259">
        <f t="shared" si="141"/>
        <v>1</v>
      </c>
      <c r="V202" s="1247">
        <f t="shared" si="142"/>
        <v>66663.269551404621</v>
      </c>
      <c r="W202" s="1244">
        <f t="shared" si="134"/>
        <v>0.42949271482438589</v>
      </c>
      <c r="X202" s="473">
        <f t="shared" si="143"/>
        <v>16846.524709278066</v>
      </c>
      <c r="Y202" s="474">
        <f t="shared" si="144"/>
        <v>18339.678840327881</v>
      </c>
      <c r="Z202" s="116">
        <f t="shared" si="145"/>
        <v>4763.4596201901322</v>
      </c>
      <c r="AA202" s="116">
        <f t="shared" si="146"/>
        <v>0</v>
      </c>
      <c r="AB202" s="116">
        <f t="shared" si="147"/>
        <v>26713.606381608544</v>
      </c>
      <c r="AC202" s="116">
        <f t="shared" si="148"/>
        <v>66663.269551404621</v>
      </c>
      <c r="AD202" s="475">
        <f t="shared" si="149"/>
        <v>3158.5830397549871</v>
      </c>
      <c r="AE202" s="579">
        <f t="shared" si="150"/>
        <v>0.25271074795225229</v>
      </c>
      <c r="AF202" s="100">
        <f t="shared" si="151"/>
        <v>0.27510920126991367</v>
      </c>
      <c r="AG202" s="100">
        <f t="shared" si="152"/>
        <v>7.1455535443202156E-2</v>
      </c>
      <c r="AH202" s="100">
        <f t="shared" si="165"/>
        <v>0</v>
      </c>
      <c r="AI202" s="100">
        <f t="shared" si="153"/>
        <v>0.40072451533463194</v>
      </c>
      <c r="AJ202" s="100">
        <f t="shared" si="154"/>
        <v>1</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7577.166622606117</v>
      </c>
      <c r="D203" s="204">
        <f>'Input data'!E143</f>
        <v>25458095.345617522</v>
      </c>
      <c r="E203" s="473">
        <f>'Input data'!J143*C203</f>
        <v>91161.237358540457</v>
      </c>
      <c r="F203" s="474">
        <f>'Input data'!L143</f>
        <v>116619.33270415798</v>
      </c>
      <c r="G203" s="489">
        <f t="shared" si="171"/>
        <v>13687.941669523079</v>
      </c>
      <c r="H203" s="474">
        <f t="shared" si="160"/>
        <v>62512.232519222482</v>
      </c>
      <c r="I203" s="475">
        <f t="shared" si="135"/>
        <v>25458.095345617523</v>
      </c>
      <c r="J203" s="100">
        <f t="shared" si="170"/>
        <v>0.4</v>
      </c>
      <c r="K203" s="474">
        <f t="shared" si="162"/>
        <v>8616.3499407841264</v>
      </c>
      <c r="L203" s="474">
        <f t="shared" si="136"/>
        <v>0</v>
      </c>
      <c r="M203" s="475">
        <f t="shared" si="163"/>
        <v>8616.3499407841264</v>
      </c>
      <c r="N203" s="579">
        <f t="shared" si="169"/>
        <v>0.5</v>
      </c>
      <c r="O203" s="475">
        <f t="shared" si="137"/>
        <v>751.91700000000026</v>
      </c>
      <c r="P203" s="1234">
        <f t="shared" si="166"/>
        <v>9368.2669407841258</v>
      </c>
      <c r="Q203" s="467">
        <f t="shared" si="138"/>
        <v>66831.907247961426</v>
      </c>
      <c r="R203" s="467">
        <f t="shared" si="164"/>
        <v>53143.96557843835</v>
      </c>
      <c r="S203" s="1255">
        <f t="shared" si="139"/>
        <v>1.0307797970713619</v>
      </c>
      <c r="T203" s="118" t="str">
        <f t="shared" si="140"/>
        <v>No</v>
      </c>
      <c r="U203" s="1259">
        <f t="shared" si="141"/>
        <v>1</v>
      </c>
      <c r="V203" s="1247">
        <f t="shared" si="142"/>
        <v>65062.282663567079</v>
      </c>
      <c r="W203" s="1244">
        <f t="shared" si="134"/>
        <v>0.44209693920459781</v>
      </c>
      <c r="X203" s="473">
        <f t="shared" si="143"/>
        <v>15274.857207370513</v>
      </c>
      <c r="Y203" s="474">
        <f t="shared" si="144"/>
        <v>17483.260575967972</v>
      </c>
      <c r="Z203" s="116">
        <f t="shared" si="145"/>
        <v>4871.4474578321506</v>
      </c>
      <c r="AA203" s="116">
        <f t="shared" si="146"/>
        <v>0</v>
      </c>
      <c r="AB203" s="116">
        <f t="shared" si="147"/>
        <v>27432.717422396443</v>
      </c>
      <c r="AC203" s="116">
        <f t="shared" si="148"/>
        <v>65062.282663567079</v>
      </c>
      <c r="AD203" s="475">
        <f t="shared" si="149"/>
        <v>1586.9155378474334</v>
      </c>
      <c r="AE203" s="579">
        <f t="shared" si="150"/>
        <v>0.23477284506533266</v>
      </c>
      <c r="AF203" s="100">
        <f t="shared" si="151"/>
        <v>0.26871575758220473</v>
      </c>
      <c r="AG203" s="100">
        <f t="shared" si="152"/>
        <v>7.4873602007204318E-2</v>
      </c>
      <c r="AH203" s="100">
        <f t="shared" si="165"/>
        <v>0</v>
      </c>
      <c r="AI203" s="100">
        <f t="shared" si="153"/>
        <v>0.4216377953452583</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7783.6023406905715</v>
      </c>
      <c r="D204" s="204">
        <f>'Input data'!E144</f>
        <v>22838649.509104934</v>
      </c>
      <c r="E204" s="473">
        <f>'Input data'!J144*C204</f>
        <v>93644.874901818475</v>
      </c>
      <c r="F204" s="474">
        <f>'Input data'!L144</f>
        <v>116483.5244109234</v>
      </c>
      <c r="G204" s="489">
        <f t="shared" si="171"/>
        <v>13687.941669523079</v>
      </c>
      <c r="H204" s="474">
        <f t="shared" si="160"/>
        <v>61479.136555504956</v>
      </c>
      <c r="I204" s="475">
        <f t="shared" si="135"/>
        <v>22838.649509104933</v>
      </c>
      <c r="J204" s="100">
        <f t="shared" si="170"/>
        <v>0.4</v>
      </c>
      <c r="K204" s="474">
        <f t="shared" si="162"/>
        <v>7729.7925737889636</v>
      </c>
      <c r="L204" s="474">
        <f t="shared" si="136"/>
        <v>0</v>
      </c>
      <c r="M204" s="475">
        <f t="shared" si="163"/>
        <v>7729.7925737889636</v>
      </c>
      <c r="N204" s="579">
        <f t="shared" si="169"/>
        <v>0.5</v>
      </c>
      <c r="O204" s="475">
        <f t="shared" si="137"/>
        <v>751.91700000000026</v>
      </c>
      <c r="P204" s="1234">
        <f t="shared" si="166"/>
        <v>8481.7095737889631</v>
      </c>
      <c r="Q204" s="467">
        <f t="shared" si="138"/>
        <v>66685.36865123907</v>
      </c>
      <c r="R204" s="467">
        <f t="shared" si="164"/>
        <v>52997.426981715995</v>
      </c>
      <c r="S204" s="1255">
        <f t="shared" si="139"/>
        <v>1.000287795561513</v>
      </c>
      <c r="T204" s="118" t="str">
        <f t="shared" si="140"/>
        <v>No</v>
      </c>
      <c r="U204" s="1259">
        <f t="shared" si="141"/>
        <v>1</v>
      </c>
      <c r="V204" s="1247">
        <f t="shared" si="142"/>
        <v>63501.345465147315</v>
      </c>
      <c r="W204" s="1244">
        <f>(1-V204/F204)</f>
        <v>0.45484697697563492</v>
      </c>
      <c r="X204" s="473">
        <f t="shared" si="143"/>
        <v>13703.189705462959</v>
      </c>
      <c r="Y204" s="474">
        <f t="shared" si="144"/>
        <v>16634.367319258348</v>
      </c>
      <c r="Z204" s="116">
        <f t="shared" si="145"/>
        <v>4983.6817890261063</v>
      </c>
      <c r="AA204" s="116">
        <f t="shared" si="146"/>
        <v>0</v>
      </c>
      <c r="AB204" s="116">
        <f t="shared" si="147"/>
        <v>28180.106651399903</v>
      </c>
      <c r="AC204" s="116">
        <f t="shared" si="148"/>
        <v>63501.345465147315</v>
      </c>
      <c r="AD204" s="475">
        <f t="shared" si="149"/>
        <v>15.248035939879628</v>
      </c>
      <c r="AE204" s="579">
        <f t="shared" si="150"/>
        <v>0.21579369074918181</v>
      </c>
      <c r="AF204" s="100">
        <f t="shared" si="151"/>
        <v>0.26195299008881812</v>
      </c>
      <c r="AG204" s="100">
        <f t="shared" si="152"/>
        <v>7.8481514880049244E-2</v>
      </c>
      <c r="AH204" s="100">
        <f t="shared" si="165"/>
        <v>0</v>
      </c>
      <c r="AI204" s="100">
        <f t="shared" si="153"/>
        <v>0.4437718042819509</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7997.9247065980107</v>
      </c>
      <c r="D205" s="204">
        <f>'Input data'!E145</f>
        <v>20219203.672592338</v>
      </c>
      <c r="E205" s="473">
        <f>'Input data'!J145*C205</f>
        <v>96223.397064897435</v>
      </c>
      <c r="F205" s="474">
        <f>'Input data'!L145</f>
        <v>116442.60073748977</v>
      </c>
      <c r="G205" s="489">
        <f t="shared" si="171"/>
        <v>13687.941669523079</v>
      </c>
      <c r="H205" s="474">
        <f t="shared" si="160"/>
        <v>60500.486062182972</v>
      </c>
      <c r="I205" s="475">
        <f t="shared" si="135"/>
        <v>20219.203672592339</v>
      </c>
      <c r="J205" s="100">
        <f t="shared" si="170"/>
        <v>0.4</v>
      </c>
      <c r="K205" s="474">
        <f t="shared" si="162"/>
        <v>6843.2352067937991</v>
      </c>
      <c r="L205" s="474">
        <f t="shared" si="136"/>
        <v>0</v>
      </c>
      <c r="M205" s="475">
        <f t="shared" si="163"/>
        <v>6843.2352067937991</v>
      </c>
      <c r="N205" s="579">
        <f t="shared" si="169"/>
        <v>0.5</v>
      </c>
      <c r="O205" s="475">
        <f t="shared" si="137"/>
        <v>751.91700000000026</v>
      </c>
      <c r="P205" s="1234">
        <f t="shared" si="166"/>
        <v>7595.1522067937995</v>
      </c>
      <c r="Q205" s="467">
        <f t="shared" si="138"/>
        <v>66593.275524912242</v>
      </c>
      <c r="R205" s="467">
        <f t="shared" si="164"/>
        <v>52905.333855389166</v>
      </c>
      <c r="S205" s="1255">
        <f t="shared" si="139"/>
        <v>0.97142178921813505</v>
      </c>
      <c r="T205" s="118" t="str">
        <f t="shared" si="140"/>
        <v>Yes</v>
      </c>
      <c r="U205" s="1259">
        <f t="shared" si="141"/>
        <v>0.97142178921813505</v>
      </c>
      <c r="V205" s="1247">
        <f t="shared" si="142"/>
        <v>63537.266882100608</v>
      </c>
      <c r="W205" s="1244">
        <f t="shared" si="134"/>
        <v>0.45434689297828268</v>
      </c>
      <c r="X205" s="473">
        <f t="shared" si="143"/>
        <v>13687.941669523074</v>
      </c>
      <c r="Y205" s="474">
        <f t="shared" si="144"/>
        <v>15793.072246531434</v>
      </c>
      <c r="Z205" s="116">
        <f t="shared" si="145"/>
        <v>5100.203908457429</v>
      </c>
      <c r="AA205" s="116">
        <f t="shared" si="146"/>
        <v>0</v>
      </c>
      <c r="AB205" s="116">
        <f t="shared" si="147"/>
        <v>28956.049057588672</v>
      </c>
      <c r="AC205" s="116">
        <f t="shared" si="148"/>
        <v>63537.266882100608</v>
      </c>
      <c r="AD205" s="475">
        <f t="shared" si="149"/>
        <v>0</v>
      </c>
      <c r="AE205" s="579">
        <f t="shared" si="150"/>
        <v>0.2154317039623744</v>
      </c>
      <c r="AF205" s="100">
        <f t="shared" si="151"/>
        <v>0.24856392195523563</v>
      </c>
      <c r="AG205" s="100">
        <f t="shared" si="152"/>
        <v>8.0271062303031354E-2</v>
      </c>
      <c r="AH205" s="100">
        <f t="shared" si="165"/>
        <v>0</v>
      </c>
      <c r="AI205" s="100">
        <f t="shared" si="153"/>
        <v>0.45573331177935861</v>
      </c>
      <c r="AJ205" s="100">
        <f t="shared" si="154"/>
        <v>1</v>
      </c>
      <c r="AK205" s="1250">
        <f t="shared" si="155"/>
        <v>12131.522203555402</v>
      </c>
      <c r="AL205" s="1251">
        <f t="shared" si="156"/>
        <v>1467.6514144835435</v>
      </c>
      <c r="AM205" s="1251">
        <f t="shared" si="157"/>
        <v>88.76805148412582</v>
      </c>
      <c r="AN205" s="1251">
        <f t="shared" si="158"/>
        <v>13687.94166952307</v>
      </c>
      <c r="AO205" s="1022">
        <f t="shared" si="159"/>
        <v>0</v>
      </c>
    </row>
    <row r="206" spans="1:41">
      <c r="A206" s="89">
        <f>'Input data'!A146</f>
        <v>2046</v>
      </c>
      <c r="B206" s="152">
        <f>'Input data'!B146</f>
        <v>73.995362001779526</v>
      </c>
      <c r="C206" s="204">
        <f>'Input data'!C146</f>
        <v>8212.8506709212088</v>
      </c>
      <c r="D206" s="204">
        <f>'Input data'!E146</f>
        <v>16217597.669678843</v>
      </c>
      <c r="E206" s="473">
        <f>'Input data'!J146*C206</f>
        <v>98809.181148056668</v>
      </c>
      <c r="F206" s="474">
        <f>'Input data'!L146</f>
        <v>115026.77881773551</v>
      </c>
      <c r="G206" s="489">
        <f t="shared" si="171"/>
        <v>13687.941669523079</v>
      </c>
      <c r="H206" s="474">
        <f t="shared" si="160"/>
        <v>58228.911176523427</v>
      </c>
      <c r="I206" s="475">
        <f t="shared" si="135"/>
        <v>16217.597669678842</v>
      </c>
      <c r="J206" s="100">
        <f t="shared" si="170"/>
        <v>0.4</v>
      </c>
      <c r="K206" s="474">
        <f t="shared" si="162"/>
        <v>5488.8826058565683</v>
      </c>
      <c r="L206" s="474">
        <f t="shared" si="136"/>
        <v>0</v>
      </c>
      <c r="M206" s="475">
        <f t="shared" si="163"/>
        <v>5488.8826058565683</v>
      </c>
      <c r="N206" s="579">
        <f t="shared" si="169"/>
        <v>0.5</v>
      </c>
      <c r="O206" s="475">
        <f t="shared" si="137"/>
        <v>751.91700000000026</v>
      </c>
      <c r="P206" s="1234">
        <f t="shared" si="166"/>
        <v>6240.7996058565686</v>
      </c>
      <c r="Q206" s="467">
        <f t="shared" si="138"/>
        <v>65676.05324018994</v>
      </c>
      <c r="R206" s="467">
        <f t="shared" si="164"/>
        <v>51988.111570666864</v>
      </c>
      <c r="S206" s="1255">
        <f t="shared" si="139"/>
        <v>0.92926359676868919</v>
      </c>
      <c r="T206" s="118" t="str">
        <f t="shared" si="140"/>
        <v>Yes</v>
      </c>
      <c r="U206" s="1259">
        <f t="shared" si="141"/>
        <v>0.92926359676868919</v>
      </c>
      <c r="V206" s="1247">
        <f t="shared" si="142"/>
        <v>63038.667247068661</v>
      </c>
      <c r="W206" s="1244">
        <f t="shared" si="134"/>
        <v>0.45196529108273187</v>
      </c>
      <c r="X206" s="473">
        <f t="shared" si="143"/>
        <v>13687.941669523076</v>
      </c>
      <c r="Y206" s="474">
        <f t="shared" si="144"/>
        <v>14399.494628305772</v>
      </c>
      <c r="Z206" s="116">
        <f t="shared" si="145"/>
        <v>5217.0541904040911</v>
      </c>
      <c r="AA206" s="116">
        <f t="shared" si="146"/>
        <v>0</v>
      </c>
      <c r="AB206" s="116">
        <f t="shared" si="147"/>
        <v>29734.176758835722</v>
      </c>
      <c r="AC206" s="116">
        <f t="shared" si="148"/>
        <v>63038.667247068661</v>
      </c>
      <c r="AD206" s="475">
        <f t="shared" si="149"/>
        <v>0</v>
      </c>
      <c r="AE206" s="579">
        <f t="shared" si="150"/>
        <v>0.21713564495067231</v>
      </c>
      <c r="AF206" s="100">
        <f t="shared" si="151"/>
        <v>0.2284232084391879</v>
      </c>
      <c r="AG206" s="100">
        <f t="shared" si="152"/>
        <v>8.2759588967145997E-2</v>
      </c>
      <c r="AH206" s="100">
        <f t="shared" si="165"/>
        <v>0</v>
      </c>
      <c r="AI206" s="100">
        <f t="shared" si="153"/>
        <v>0.4716815576429938</v>
      </c>
      <c r="AJ206" s="100">
        <f t="shared" si="154"/>
        <v>1</v>
      </c>
      <c r="AK206" s="1250">
        <f t="shared" si="155"/>
        <v>9730.5586018073045</v>
      </c>
      <c r="AL206" s="1251">
        <f t="shared" si="156"/>
        <v>3730.3318704696585</v>
      </c>
      <c r="AM206" s="1251">
        <f t="shared" si="157"/>
        <v>227.05119724611177</v>
      </c>
      <c r="AN206" s="1251">
        <f t="shared" si="158"/>
        <v>13687.941669523074</v>
      </c>
      <c r="AO206" s="1022">
        <f t="shared" si="159"/>
        <v>0</v>
      </c>
    </row>
    <row r="207" spans="1:41">
      <c r="A207" s="89">
        <f>'Input data'!A147</f>
        <v>2047</v>
      </c>
      <c r="B207" s="152">
        <f>'Input data'!B147</f>
        <v>74.373096484110363</v>
      </c>
      <c r="C207" s="204">
        <f>'Input data'!C147</f>
        <v>8261.0803168727289</v>
      </c>
      <c r="D207" s="204">
        <f>'Input data'!E147</f>
        <v>12215991.666765345</v>
      </c>
      <c r="E207" s="473">
        <f>'Input data'!J147*C207</f>
        <v>99389.434219064453</v>
      </c>
      <c r="F207" s="474">
        <f>'Input data'!L147</f>
        <v>111605.4258858298</v>
      </c>
      <c r="G207" s="489">
        <f t="shared" si="171"/>
        <v>13687.941669523079</v>
      </c>
      <c r="H207" s="474">
        <f t="shared" si="160"/>
        <v>54806.548317233057</v>
      </c>
      <c r="I207" s="475">
        <f t="shared" si="135"/>
        <v>12215.991666765345</v>
      </c>
      <c r="J207" s="100">
        <f t="shared" si="170"/>
        <v>0.4</v>
      </c>
      <c r="K207" s="474">
        <f t="shared" si="162"/>
        <v>4134.5300049193374</v>
      </c>
      <c r="L207" s="474">
        <f t="shared" si="136"/>
        <v>0</v>
      </c>
      <c r="M207" s="475">
        <f t="shared" si="163"/>
        <v>4134.5300049193374</v>
      </c>
      <c r="N207" s="579">
        <f t="shared" si="169"/>
        <v>0.5</v>
      </c>
      <c r="O207" s="475">
        <f t="shared" si="137"/>
        <v>751.91700000000026</v>
      </c>
      <c r="P207" s="1234">
        <f t="shared" si="166"/>
        <v>4886.4470049193378</v>
      </c>
      <c r="Q207" s="467">
        <f t="shared" si="138"/>
        <v>63608.042981836792</v>
      </c>
      <c r="R207" s="467">
        <f t="shared" si="164"/>
        <v>49920.101312313709</v>
      </c>
      <c r="S207" s="1255">
        <f t="shared" si="139"/>
        <v>0.88701986466430904</v>
      </c>
      <c r="T207" s="118" t="str">
        <f t="shared" si="140"/>
        <v>Yes</v>
      </c>
      <c r="U207" s="1259">
        <f t="shared" si="141"/>
        <v>0.88701986466430904</v>
      </c>
      <c r="V207" s="1247">
        <f t="shared" si="142"/>
        <v>61685.324573516089</v>
      </c>
      <c r="W207" s="1244">
        <f t="shared" si="134"/>
        <v>0.44729098891106789</v>
      </c>
      <c r="X207" s="473">
        <f t="shared" si="143"/>
        <v>13687.941669523083</v>
      </c>
      <c r="Y207" s="474">
        <f t="shared" si="144"/>
        <v>12845.317814495815</v>
      </c>
      <c r="Z207" s="116">
        <f t="shared" si="145"/>
        <v>5243.2755347882812</v>
      </c>
      <c r="AA207" s="116">
        <f t="shared" si="146"/>
        <v>0</v>
      </c>
      <c r="AB207" s="116">
        <f t="shared" si="147"/>
        <v>29908.789554708914</v>
      </c>
      <c r="AC207" s="116">
        <f t="shared" si="148"/>
        <v>61685.324573516089</v>
      </c>
      <c r="AD207" s="1240">
        <f t="shared" si="149"/>
        <v>0</v>
      </c>
      <c r="AE207" s="579">
        <f t="shared" si="150"/>
        <v>0.22189948361558673</v>
      </c>
      <c r="AF207" s="100">
        <f t="shared" si="151"/>
        <v>0.20823944598340996</v>
      </c>
      <c r="AG207" s="100">
        <f t="shared" si="152"/>
        <v>8.500037198538829E-2</v>
      </c>
      <c r="AH207" s="100">
        <f t="shared" si="165"/>
        <v>0</v>
      </c>
      <c r="AI207" s="100">
        <f t="shared" si="153"/>
        <v>0.48486069841561508</v>
      </c>
      <c r="AJ207" s="100">
        <f t="shared" si="154"/>
        <v>1</v>
      </c>
      <c r="AK207" s="1250">
        <f t="shared" si="155"/>
        <v>7329.5950000592056</v>
      </c>
      <c r="AL207" s="1251">
        <f t="shared" si="156"/>
        <v>5993.0721508985935</v>
      </c>
      <c r="AM207" s="1251">
        <f t="shared" si="157"/>
        <v>365.27451856528114</v>
      </c>
      <c r="AN207" s="1251">
        <f t="shared" si="158"/>
        <v>13687.941669523079</v>
      </c>
      <c r="AO207" s="1022">
        <f t="shared" si="159"/>
        <v>0</v>
      </c>
    </row>
    <row r="208" spans="1:41">
      <c r="A208" s="89">
        <f>'Input data'!A148</f>
        <v>2048</v>
      </c>
      <c r="B208" s="152">
        <f>'Input data'!B148</f>
        <v>74.752759240528661</v>
      </c>
      <c r="C208" s="204">
        <f>'Input data'!C148</f>
        <v>8289.8997424694644</v>
      </c>
      <c r="D208" s="204">
        <f>'Input data'!E148</f>
        <v>8214385.6638518488</v>
      </c>
      <c r="E208" s="473">
        <f>'Input data'!J148*C208</f>
        <v>99736.162043357326</v>
      </c>
      <c r="F208" s="474">
        <f>'Input data'!L148</f>
        <v>107950.54770720917</v>
      </c>
      <c r="G208" s="489">
        <f t="shared" si="171"/>
        <v>13687.941669523079</v>
      </c>
      <c r="H208" s="474">
        <f t="shared" si="160"/>
        <v>51250.187008738765</v>
      </c>
      <c r="I208" s="475">
        <f t="shared" si="135"/>
        <v>8214.3856638518482</v>
      </c>
      <c r="J208" s="100">
        <f t="shared" si="170"/>
        <v>0.4</v>
      </c>
      <c r="K208" s="474">
        <f t="shared" si="162"/>
        <v>2780.1774039821057</v>
      </c>
      <c r="L208" s="474">
        <f t="shared" si="136"/>
        <v>0</v>
      </c>
      <c r="M208" s="475">
        <f t="shared" si="163"/>
        <v>2780.1774039821057</v>
      </c>
      <c r="N208" s="579">
        <f t="shared" si="169"/>
        <v>0.5</v>
      </c>
      <c r="O208" s="475">
        <f t="shared" si="137"/>
        <v>751.91700000000026</v>
      </c>
      <c r="P208" s="1234">
        <f t="shared" si="166"/>
        <v>3532.0944039821061</v>
      </c>
      <c r="Q208" s="467">
        <f t="shared" si="138"/>
        <v>61406.034274279737</v>
      </c>
      <c r="R208" s="467">
        <f t="shared" si="164"/>
        <v>47718.092604756661</v>
      </c>
      <c r="S208" s="1255">
        <f t="shared" si="139"/>
        <v>0.84490593006819925</v>
      </c>
      <c r="T208" s="118" t="str">
        <f t="shared" si="140"/>
        <v>Yes</v>
      </c>
      <c r="U208" s="1259">
        <f t="shared" si="141"/>
        <v>0.84490593006819925</v>
      </c>
      <c r="V208" s="1247">
        <f t="shared" si="142"/>
        <v>60232.455102452528</v>
      </c>
      <c r="W208" s="1244">
        <f t="shared" si="134"/>
        <v>0.44203659562877717</v>
      </c>
      <c r="X208" s="473">
        <f t="shared" si="143"/>
        <v>13687.941669523072</v>
      </c>
      <c r="Y208" s="474">
        <f t="shared" si="144"/>
        <v>11272.440733004229</v>
      </c>
      <c r="Z208" s="116">
        <f t="shared" si="145"/>
        <v>5258.9439907476335</v>
      </c>
      <c r="AA208" s="116">
        <f t="shared" si="146"/>
        <v>0</v>
      </c>
      <c r="AB208" s="116">
        <f t="shared" si="147"/>
        <v>30013.128709177592</v>
      </c>
      <c r="AC208" s="116">
        <f t="shared" si="148"/>
        <v>60232.455102452528</v>
      </c>
      <c r="AD208" s="1240">
        <f t="shared" si="149"/>
        <v>0</v>
      </c>
      <c r="AE208" s="579">
        <f t="shared" si="150"/>
        <v>0.22725192998094693</v>
      </c>
      <c r="AF208" s="100">
        <f t="shared" si="151"/>
        <v>0.18714895007733531</v>
      </c>
      <c r="AG208" s="100">
        <f t="shared" si="152"/>
        <v>8.7310802486839048E-2</v>
      </c>
      <c r="AH208" s="100">
        <f t="shared" si="165"/>
        <v>0</v>
      </c>
      <c r="AI208" s="100">
        <f t="shared" si="153"/>
        <v>0.49828831745487867</v>
      </c>
      <c r="AJ208" s="100">
        <f t="shared" si="154"/>
        <v>1</v>
      </c>
      <c r="AK208" s="1250">
        <f t="shared" si="155"/>
        <v>4928.6313983111086</v>
      </c>
      <c r="AL208" s="1251">
        <f t="shared" si="156"/>
        <v>8255.7216539726433</v>
      </c>
      <c r="AM208" s="1251">
        <f t="shared" si="157"/>
        <v>503.58861723931761</v>
      </c>
      <c r="AN208" s="1251">
        <f t="shared" si="158"/>
        <v>13687.94166952307</v>
      </c>
      <c r="AO208" s="1022">
        <f t="shared" si="159"/>
        <v>0</v>
      </c>
    </row>
    <row r="209" spans="1:41">
      <c r="A209" s="89">
        <f>'Input data'!A149</f>
        <v>2049</v>
      </c>
      <c r="B209" s="152">
        <f>'Input data'!B149</f>
        <v>75.134360114565098</v>
      </c>
      <c r="C209" s="204">
        <f>'Input data'!C149</f>
        <v>8319.7266636271434</v>
      </c>
      <c r="D209" s="204">
        <f>'Input data'!E149</f>
        <v>4212779.6609383523</v>
      </c>
      <c r="E209" s="473">
        <f>'Input data'!J149*C209</f>
        <v>100095.01109271272</v>
      </c>
      <c r="F209" s="474">
        <f>'Input data'!L149</f>
        <v>104307.79075365108</v>
      </c>
      <c r="G209" s="489">
        <f t="shared" si="171"/>
        <v>13687.941669523079</v>
      </c>
      <c r="H209" s="474">
        <f t="shared" si="160"/>
        <v>47700.780945485312</v>
      </c>
      <c r="I209" s="475">
        <f t="shared" si="135"/>
        <v>4212.7796609383522</v>
      </c>
      <c r="J209" s="100">
        <f t="shared" si="170"/>
        <v>0.4</v>
      </c>
      <c r="K209" s="474">
        <f t="shared" si="162"/>
        <v>1425.8248030448744</v>
      </c>
      <c r="L209" s="474">
        <f t="shared" si="136"/>
        <v>0</v>
      </c>
      <c r="M209" s="475">
        <f t="shared" si="163"/>
        <v>1425.8248030448744</v>
      </c>
      <c r="N209" s="579">
        <f t="shared" si="169"/>
        <v>0.5</v>
      </c>
      <c r="O209" s="475">
        <f t="shared" si="137"/>
        <v>751.91700000000026</v>
      </c>
      <c r="P209" s="1234">
        <f t="shared" si="166"/>
        <v>2177.7418030448748</v>
      </c>
      <c r="Q209" s="467">
        <f t="shared" si="138"/>
        <v>59210.980811963513</v>
      </c>
      <c r="R209" s="467">
        <f t="shared" si="164"/>
        <v>45523.039142440437</v>
      </c>
      <c r="S209" s="1255">
        <f t="shared" si="139"/>
        <v>0.80311182816840843</v>
      </c>
      <c r="T209" s="118" t="str">
        <f t="shared" si="140"/>
        <v>Yes</v>
      </c>
      <c r="U209" s="1259">
        <f t="shared" si="141"/>
        <v>0.80311182816840843</v>
      </c>
      <c r="V209" s="1247">
        <f t="shared" si="142"/>
        <v>58784.751611210653</v>
      </c>
      <c r="W209" s="1244">
        <f t="shared" si="134"/>
        <v>0.43642990435828954</v>
      </c>
      <c r="X209" s="473">
        <f t="shared" si="143"/>
        <v>13687.941669523076</v>
      </c>
      <c r="Y209" s="474">
        <f t="shared" si="144"/>
        <v>9700.5342966847911</v>
      </c>
      <c r="Z209" s="116">
        <f t="shared" si="145"/>
        <v>5275.1601987700142</v>
      </c>
      <c r="AA209" s="116">
        <f t="shared" si="146"/>
        <v>0</v>
      </c>
      <c r="AB209" s="116">
        <f t="shared" si="147"/>
        <v>30121.11544623278</v>
      </c>
      <c r="AC209" s="116">
        <f t="shared" si="148"/>
        <v>58784.751611210653</v>
      </c>
      <c r="AD209" s="1240">
        <f t="shared" si="149"/>
        <v>0</v>
      </c>
      <c r="AE209" s="579">
        <f t="shared" si="150"/>
        <v>0.2328485073825283</v>
      </c>
      <c r="AF209" s="100">
        <f t="shared" si="151"/>
        <v>0.16501786655223075</v>
      </c>
      <c r="AG209" s="100">
        <f t="shared" si="152"/>
        <v>8.9736879959258095E-2</v>
      </c>
      <c r="AH209" s="100">
        <f t="shared" si="165"/>
        <v>0</v>
      </c>
      <c r="AI209" s="100">
        <f t="shared" si="153"/>
        <v>0.51239674610598296</v>
      </c>
      <c r="AJ209" s="100">
        <f t="shared" si="154"/>
        <v>1</v>
      </c>
      <c r="AK209" s="1250">
        <f t="shared" si="155"/>
        <v>2527.6677965630115</v>
      </c>
      <c r="AL209" s="1251">
        <f t="shared" si="156"/>
        <v>10518.147473506404</v>
      </c>
      <c r="AM209" s="1251">
        <f t="shared" si="157"/>
        <v>642.12639945365675</v>
      </c>
      <c r="AN209" s="1251">
        <f t="shared" si="158"/>
        <v>13687.941669523072</v>
      </c>
      <c r="AO209" s="1022">
        <f t="shared" si="159"/>
        <v>0</v>
      </c>
    </row>
    <row r="210" spans="1:41" ht="15" thickBot="1">
      <c r="A210" s="141">
        <f>'Input data'!A150</f>
        <v>2050</v>
      </c>
      <c r="B210" s="593">
        <f>'Input data'!B150</f>
        <v>75.517908999999989</v>
      </c>
      <c r="C210" s="207">
        <f>'Input data'!C150</f>
        <v>8341.54221182129</v>
      </c>
      <c r="D210" s="207">
        <f>'Input data'!E150</f>
        <v>211173.65802485455</v>
      </c>
      <c r="E210" s="598">
        <f>'Input data'!J150*C210</f>
        <v>100357.47494841044</v>
      </c>
      <c r="F210" s="595">
        <f>'Input data'!L150</f>
        <v>100568.64860643529</v>
      </c>
      <c r="G210" s="602">
        <f t="shared" si="171"/>
        <v>13687.941669523079</v>
      </c>
      <c r="H210" s="595">
        <f t="shared" si="160"/>
        <v>44096.068371873596</v>
      </c>
      <c r="I210" s="589">
        <f t="shared" si="135"/>
        <v>211.17365802485455</v>
      </c>
      <c r="J210" s="581">
        <f t="shared" si="170"/>
        <v>0.4</v>
      </c>
      <c r="K210" s="595">
        <f t="shared" si="162"/>
        <v>71.472202107643056</v>
      </c>
      <c r="L210" s="595">
        <f t="shared" si="136"/>
        <v>0</v>
      </c>
      <c r="M210" s="589">
        <f t="shared" si="163"/>
        <v>71.472202107643056</v>
      </c>
      <c r="N210" s="580">
        <f t="shared" si="169"/>
        <v>0.5</v>
      </c>
      <c r="O210" s="589">
        <f t="shared" si="137"/>
        <v>751.91700000000026</v>
      </c>
      <c r="P210" s="1235">
        <f t="shared" si="166"/>
        <v>823.38920210764331</v>
      </c>
      <c r="Q210" s="1238">
        <f t="shared" si="138"/>
        <v>56960.620839289033</v>
      </c>
      <c r="R210" s="1238">
        <f t="shared" si="164"/>
        <v>43272.67916976595</v>
      </c>
      <c r="S210" s="1256">
        <f t="shared" si="139"/>
        <v>0.76138829988542223</v>
      </c>
      <c r="T210" s="951" t="str">
        <f t="shared" si="140"/>
        <v>Yes</v>
      </c>
      <c r="U210" s="1261">
        <f t="shared" si="141"/>
        <v>0.76138829988542223</v>
      </c>
      <c r="V210" s="1248">
        <f t="shared" si="142"/>
        <v>57295.969436669358</v>
      </c>
      <c r="W210" s="1245">
        <f t="shared" si="134"/>
        <v>0.43028001041466668</v>
      </c>
      <c r="X210" s="598">
        <f t="shared" si="143"/>
        <v>13687.941669523081</v>
      </c>
      <c r="Y210" s="595">
        <f t="shared" si="144"/>
        <v>8120.9095132174525</v>
      </c>
      <c r="Z210" s="1264">
        <f t="shared" si="145"/>
        <v>5287.0208083773005</v>
      </c>
      <c r="AA210" s="1264">
        <f t="shared" si="146"/>
        <v>0</v>
      </c>
      <c r="AB210" s="1264">
        <f t="shared" si="147"/>
        <v>30200.097445551524</v>
      </c>
      <c r="AC210" s="1264">
        <f t="shared" si="148"/>
        <v>57295.969436669358</v>
      </c>
      <c r="AD210" s="1241">
        <f t="shared" si="149"/>
        <v>0</v>
      </c>
      <c r="AE210" s="580">
        <f t="shared" si="150"/>
        <v>0.23889885805410271</v>
      </c>
      <c r="AF210" s="581">
        <f t="shared" si="151"/>
        <v>0.14173613943636459</v>
      </c>
      <c r="AG210" s="581">
        <f t="shared" si="152"/>
        <v>9.2275614853173468E-2</v>
      </c>
      <c r="AH210" s="581">
        <f t="shared" si="165"/>
        <v>0</v>
      </c>
      <c r="AI210" s="581">
        <f>AB210/AC210</f>
        <v>0.52708938765635915</v>
      </c>
      <c r="AJ210" s="581">
        <f t="shared" si="154"/>
        <v>1</v>
      </c>
      <c r="AK210" s="1252">
        <f t="shared" si="155"/>
        <v>126.70419481491274</v>
      </c>
      <c r="AL210" s="1253">
        <f t="shared" si="156"/>
        <v>12780.523935495927</v>
      </c>
      <c r="AM210" s="1253">
        <f t="shared" si="157"/>
        <v>780.71353921223874</v>
      </c>
      <c r="AN210" s="1253">
        <f t="shared" si="158"/>
        <v>13687.941669523078</v>
      </c>
      <c r="AO210" s="1023">
        <f t="shared" si="159"/>
        <v>0</v>
      </c>
    </row>
    <row r="211" spans="1:41">
      <c r="I211" s="93"/>
    </row>
    <row r="212" spans="1:41">
      <c r="I212" s="93"/>
    </row>
  </sheetData>
  <mergeCells count="78">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4:A6"/>
    <mergeCell ref="B4:B6"/>
    <mergeCell ref="A8:A9"/>
    <mergeCell ref="B8:F8"/>
    <mergeCell ref="G8:I8"/>
    <mergeCell ref="P134:P135"/>
    <mergeCell ref="Q134:Q135"/>
    <mergeCell ref="A174:D174"/>
    <mergeCell ref="A175:A176"/>
    <mergeCell ref="E174:I174"/>
    <mergeCell ref="J174:L174"/>
    <mergeCell ref="M174:M175"/>
    <mergeCell ref="N174:O174"/>
    <mergeCell ref="P174:P175"/>
    <mergeCell ref="Q174:Q175"/>
    <mergeCell ref="R174:R175"/>
    <mergeCell ref="S174:S175"/>
    <mergeCell ref="T174:T176"/>
    <mergeCell ref="W174:W175"/>
    <mergeCell ref="U174:U175"/>
    <mergeCell ref="AB94:AB96"/>
    <mergeCell ref="Y94:Y95"/>
    <mergeCell ref="V94:V95"/>
    <mergeCell ref="W94:X94"/>
    <mergeCell ref="Z94:Z95"/>
    <mergeCell ref="AA94:AA95"/>
    <mergeCell ref="U134:U135"/>
    <mergeCell ref="V134:V135"/>
    <mergeCell ref="V174:V175"/>
    <mergeCell ref="X174:AJ174"/>
    <mergeCell ref="X134:AJ134"/>
    <mergeCell ref="AF94:AF95"/>
    <mergeCell ref="AG94:AQ94"/>
    <mergeCell ref="AC94:AC96"/>
    <mergeCell ref="AD94:AD96"/>
    <mergeCell ref="AE94:AE95"/>
    <mergeCell ref="CG94:CM94"/>
    <mergeCell ref="CM95:CM96"/>
    <mergeCell ref="AR94:BB94"/>
    <mergeCell ref="CB94:CC94"/>
    <mergeCell ref="CD94:CE94"/>
    <mergeCell ref="BD94:BD96"/>
    <mergeCell ref="BE94:BL94"/>
    <mergeCell ref="BV94:BX94"/>
    <mergeCell ref="BY94:CA94"/>
    <mergeCell ref="BM94:BT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5.6640625" customWidth="1"/>
    <col min="8" max="8" width="19.6640625" customWidth="1"/>
    <col min="9" max="9" width="30.33203125" customWidth="1"/>
    <col min="10" max="10" width="25.33203125" customWidth="1"/>
    <col min="11" max="12" width="24.6640625" customWidth="1"/>
    <col min="13" max="13" width="26.6640625" customWidth="1"/>
    <col min="14" max="14" width="25.88671875" customWidth="1"/>
    <col min="15" max="15" width="29.33203125" customWidth="1"/>
    <col min="16" max="16" width="28.44140625" customWidth="1"/>
    <col min="17" max="17" width="30.88671875" customWidth="1"/>
    <col min="18" max="18" width="28.33203125" customWidth="1"/>
    <col min="19" max="19" width="23.109375" customWidth="1"/>
    <col min="20" max="20" width="20.33203125" customWidth="1"/>
    <col min="21" max="21" width="30" customWidth="1"/>
    <col min="22" max="22" width="20" customWidth="1"/>
    <col min="23" max="23" width="27.5546875" customWidth="1"/>
    <col min="24" max="24" width="20.33203125" customWidth="1"/>
    <col min="25" max="25" width="21.88671875" customWidth="1"/>
    <col min="26" max="26" width="17.33203125" customWidth="1"/>
    <col min="27" max="28" width="21.44140625" customWidth="1"/>
    <col min="29" max="29" width="21.109375" customWidth="1"/>
    <col min="30" max="30" width="25.33203125" customWidth="1"/>
    <col min="31" max="31" width="24.44140625" customWidth="1"/>
    <col min="32" max="32" width="29.44140625" customWidth="1"/>
    <col min="33" max="33" width="25.6640625" customWidth="1"/>
    <col min="34" max="34" width="22.6640625" customWidth="1"/>
    <col min="35" max="37" width="29.109375" customWidth="1"/>
    <col min="38" max="38" width="22.5546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8" max="68" width="9.88671875" customWidth="1"/>
    <col min="69" max="69" width="16" customWidth="1"/>
    <col min="71" max="71" width="18.6640625" customWidth="1"/>
    <col min="72" max="72" width="15.109375" customWidth="1"/>
    <col min="73" max="73" width="18.6640625" customWidth="1"/>
    <col min="74" max="74" width="23.5546875" customWidth="1"/>
    <col min="75" max="75" width="20.5546875" customWidth="1"/>
    <col min="76" max="76" width="21.6640625" customWidth="1"/>
    <col min="77" max="77" width="16.109375" customWidth="1"/>
    <col min="78" max="78" width="17.6640625" customWidth="1"/>
    <col min="79" max="79" width="18.5546875" customWidth="1"/>
    <col min="80" max="81" width="21.6640625" customWidth="1"/>
    <col min="82" max="82" width="20.33203125" customWidth="1"/>
    <col min="83" max="83" width="19" customWidth="1"/>
    <col min="85" max="85" width="17.33203125" customWidth="1"/>
    <col min="86" max="86" width="15.88671875" customWidth="1"/>
    <col min="88" max="88" width="11.109375" customWidth="1"/>
    <col min="89" max="89" width="12.33203125" customWidth="1"/>
    <col min="90" max="90" width="13.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f>C4</f>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837"/>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6">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 thickBot="1">
      <c r="A53" s="567" t="s">
        <v>553</v>
      </c>
      <c r="B53" s="867">
        <v>2030</v>
      </c>
      <c r="C53" s="574">
        <v>1</v>
      </c>
      <c r="D53" s="860">
        <v>0.37</v>
      </c>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620</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553</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660</v>
      </c>
      <c r="BW94" s="1491"/>
      <c r="BX94" s="1510"/>
      <c r="BY94" s="1490" t="s">
        <v>656</v>
      </c>
      <c r="BZ94" s="1491"/>
      <c r="CA94" s="1492"/>
      <c r="CB94" s="1509" t="s">
        <v>661</v>
      </c>
      <c r="CC94" s="1508"/>
      <c r="CD94" s="1509" t="s">
        <v>657</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02" t="s">
        <v>736</v>
      </c>
    </row>
    <row r="96" spans="1:91" ht="31.8"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4436.7667702664276</v>
      </c>
      <c r="D99" s="204">
        <f>'Input data'!D119</f>
        <v>53169997.747000799</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113.56805229285898</v>
      </c>
      <c r="BW99" s="100">
        <f t="shared" si="63"/>
        <v>0.3763252339163653</v>
      </c>
      <c r="BX99" s="1385">
        <f t="shared" si="24"/>
        <v>53.169997747000799</v>
      </c>
      <c r="BY99" s="473">
        <f t="shared" si="64"/>
        <v>113.56805229285898</v>
      </c>
      <c r="BZ99" s="100">
        <f t="shared" si="65"/>
        <v>0.3763252339163653</v>
      </c>
      <c r="CA99" s="489">
        <f t="shared" si="25"/>
        <v>53.169997747000799</v>
      </c>
      <c r="CB99" s="579">
        <f t="shared" si="26"/>
        <v>4.2261345922522509E-2</v>
      </c>
      <c r="CC99" s="471">
        <f t="shared" si="66"/>
        <v>0.15670225364825097</v>
      </c>
      <c r="CD99" s="100">
        <f t="shared" si="27"/>
        <v>4.2261345922522509E-2</v>
      </c>
      <c r="CE99" s="471">
        <f t="shared" si="67"/>
        <v>0.15670225364825097</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59.308690000000006</v>
      </c>
      <c r="C100" s="204">
        <f>'Input data'!C120</f>
        <v>4197.6296598339768</v>
      </c>
      <c r="D100" s="204">
        <f>'Input data'!D120</f>
        <v>50963260.465782054</v>
      </c>
      <c r="E100" s="579">
        <f t="shared" si="75"/>
        <v>0.78061538461538471</v>
      </c>
      <c r="F100" s="100">
        <f t="shared" si="76"/>
        <v>0.30815384615384617</v>
      </c>
      <c r="G100" s="475">
        <f>B100*F100*'Input data'!$C$9</f>
        <v>559.3813349254624</v>
      </c>
      <c r="H100" s="301">
        <f>'Input data'!I120</f>
        <v>424.26313389388866</v>
      </c>
      <c r="I100" s="474">
        <f>'Input data'!K120</f>
        <v>25162.490686541139</v>
      </c>
      <c r="J100" s="474">
        <f>J97*0.81</f>
        <v>9026.6655003882443</v>
      </c>
      <c r="K100" s="475">
        <f t="shared" si="77"/>
        <v>2666.8081220502918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62.174809501571872</v>
      </c>
      <c r="R100" s="474">
        <f t="shared" si="34"/>
        <v>43.387514496329516</v>
      </c>
      <c r="S100" s="474">
        <f t="shared" si="35"/>
        <v>127.05661046635623</v>
      </c>
      <c r="T100" s="474">
        <f t="shared" si="36"/>
        <v>85.551967685751606</v>
      </c>
      <c r="U100" s="475">
        <f t="shared" si="37"/>
        <v>0</v>
      </c>
      <c r="V100" s="474">
        <f t="shared" si="38"/>
        <v>318.17090215000923</v>
      </c>
      <c r="W100" s="579">
        <f>($N$142-$N$137)/($A$102-$A$97)+W99</f>
        <v>0.2</v>
      </c>
      <c r="X100" s="475">
        <f t="shared" si="39"/>
        <v>1213.3941881208284</v>
      </c>
      <c r="Y100" s="473">
        <f t="shared" si="78"/>
        <v>1531.5650902708376</v>
      </c>
      <c r="Z100" s="474">
        <f t="shared" si="79"/>
        <v>10161.908532167698</v>
      </c>
      <c r="AA100" s="475">
        <f t="shared" si="80"/>
        <v>1135.2430317794533</v>
      </c>
      <c r="AB100" s="938">
        <f t="shared" si="40"/>
        <v>0.11171553337503697</v>
      </c>
      <c r="AC100" s="118" t="str">
        <f t="shared" si="41"/>
        <v>Yes</v>
      </c>
      <c r="AD100" s="938">
        <f t="shared" si="42"/>
        <v>0.11171553337503697</v>
      </c>
      <c r="AE100" s="579">
        <f t="shared" si="10"/>
        <v>6.3097402659273327E-2</v>
      </c>
      <c r="AF100" s="475">
        <f t="shared" si="43"/>
        <v>397.49323210110077</v>
      </c>
      <c r="AG100" s="474">
        <f t="shared" si="44"/>
        <v>9026.6655003882443</v>
      </c>
      <c r="AH100" s="474">
        <f t="shared" si="81"/>
        <v>7215.5760361663397</v>
      </c>
      <c r="AI100" s="474">
        <f t="shared" si="82"/>
        <v>4617.5691834333375</v>
      </c>
      <c r="AJ100" s="474">
        <f t="shared" si="11"/>
        <v>2714.9921597943135</v>
      </c>
      <c r="AK100" s="474">
        <f t="shared" si="45"/>
        <v>23574.802879782237</v>
      </c>
      <c r="AL100" s="640">
        <f t="shared" si="12"/>
        <v>0</v>
      </c>
      <c r="AM100" s="100">
        <f t="shared" si="46"/>
        <v>0.38289463315638228</v>
      </c>
      <c r="AN100" s="100">
        <f t="shared" si="47"/>
        <v>0.30607153209134236</v>
      </c>
      <c r="AO100" s="100">
        <f t="shared" si="48"/>
        <v>0.19586883534001326</v>
      </c>
      <c r="AP100" s="100">
        <f t="shared" si="49"/>
        <v>0.11516499941226198</v>
      </c>
      <c r="AQ100" s="100">
        <f t="shared" si="50"/>
        <v>0.99999999999999989</v>
      </c>
      <c r="AR100" s="473">
        <f t="shared" si="13"/>
        <v>2017.8652163457427</v>
      </c>
      <c r="AS100" s="474">
        <f t="shared" si="14"/>
        <v>2559.1990007498525</v>
      </c>
      <c r="AT100" s="474">
        <f t="shared" si="15"/>
        <v>557.59353532799946</v>
      </c>
      <c r="AU100" s="474">
        <f t="shared" si="16"/>
        <v>0</v>
      </c>
      <c r="AV100" s="474">
        <f t="shared" si="17"/>
        <v>0</v>
      </c>
      <c r="AW100" s="474">
        <f t="shared" si="18"/>
        <v>0</v>
      </c>
      <c r="AX100" s="474">
        <f t="shared" si="19"/>
        <v>2608.3793991678872</v>
      </c>
      <c r="AY100" s="474">
        <f t="shared" si="20"/>
        <v>338.57173496576468</v>
      </c>
      <c r="AZ100" s="474">
        <f t="shared" si="21"/>
        <v>435.26820826636424</v>
      </c>
      <c r="BA100" s="474">
        <f t="shared" si="22"/>
        <v>405.8558446188876</v>
      </c>
      <c r="BB100" s="474">
        <f t="shared" si="23"/>
        <v>103.93256094574485</v>
      </c>
      <c r="BC100" s="475">
        <f t="shared" si="51"/>
        <v>9026.6655003882424</v>
      </c>
      <c r="BD100" s="647">
        <f t="shared" si="52"/>
        <v>0</v>
      </c>
      <c r="BE100" s="383">
        <f t="shared" si="53"/>
        <v>0.22354491991078579</v>
      </c>
      <c r="BF100" s="383">
        <f t="shared" si="54"/>
        <v>0.28351543553262054</v>
      </c>
      <c r="BG100" s="383">
        <f t="shared" si="55"/>
        <v>6.1771817655591317E-2</v>
      </c>
      <c r="BH100" s="383">
        <f t="shared" si="56"/>
        <v>0</v>
      </c>
      <c r="BI100" s="383">
        <f t="shared" si="57"/>
        <v>0</v>
      </c>
      <c r="BJ100" s="383">
        <f t="shared" si="58"/>
        <v>0</v>
      </c>
      <c r="BK100" s="383">
        <f t="shared" si="59"/>
        <v>0.43116782690100253</v>
      </c>
      <c r="BL100" s="383">
        <f t="shared" si="60"/>
        <v>1.0000000000000002</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107.95239924758383</v>
      </c>
      <c r="BW100" s="100">
        <f t="shared" si="63"/>
        <v>0.40285876264672721</v>
      </c>
      <c r="BX100" s="1385">
        <f t="shared" si="24"/>
        <v>50.963260465782056</v>
      </c>
      <c r="BY100" s="473">
        <f t="shared" si="64"/>
        <v>107.95239924758383</v>
      </c>
      <c r="BZ100" s="100">
        <f t="shared" si="65"/>
        <v>0.40285876264672721</v>
      </c>
      <c r="CA100" s="489">
        <f t="shared" si="25"/>
        <v>50.963260465782056</v>
      </c>
      <c r="CB100" s="579">
        <f t="shared" si="26"/>
        <v>6.3097402659273327E-2</v>
      </c>
      <c r="CC100" s="471">
        <f t="shared" si="66"/>
        <v>0.1684079773439997</v>
      </c>
      <c r="CD100" s="100">
        <f t="shared" si="27"/>
        <v>6.3097402659273327E-2</v>
      </c>
      <c r="CE100" s="471">
        <f t="shared" si="67"/>
        <v>0.1684079773439997</v>
      </c>
      <c r="CG100" s="473">
        <f t="shared" si="68"/>
        <v>1364.3916529511498</v>
      </c>
      <c r="CH100" s="474">
        <f t="shared" si="69"/>
        <v>547.44573505593632</v>
      </c>
      <c r="CI100" s="474">
        <f t="shared" si="70"/>
        <v>2212.2267992546454</v>
      </c>
      <c r="CJ100" s="474">
        <f t="shared" si="71"/>
        <v>3051.3535141251637</v>
      </c>
      <c r="CK100" s="474">
        <f t="shared" si="72"/>
        <v>40.158334779443209</v>
      </c>
      <c r="CL100" s="474">
        <f t="shared" si="73"/>
        <v>7215.5760361663388</v>
      </c>
      <c r="CM100" s="576">
        <f t="shared" si="74"/>
        <v>0</v>
      </c>
    </row>
    <row r="101" spans="1:91">
      <c r="A101" s="89">
        <f>'Input data'!A121</f>
        <v>2021</v>
      </c>
      <c r="B101" s="152">
        <f>'Input data'!B121</f>
        <v>59.991580449204264</v>
      </c>
      <c r="C101" s="204">
        <f>'Input data'!C121</f>
        <v>4326.0661578199733</v>
      </c>
      <c r="D101" s="204">
        <f>'Input data'!D121</f>
        <v>50546075.397081107</v>
      </c>
      <c r="E101" s="579">
        <f t="shared" si="75"/>
        <v>0.80255384615384628</v>
      </c>
      <c r="F101" s="100">
        <f t="shared" si="76"/>
        <v>0.31433846153846157</v>
      </c>
      <c r="G101" s="475">
        <f>B101*F101*'Input data'!$C$9</f>
        <v>577.1781389317141</v>
      </c>
      <c r="H101" s="301">
        <f>'Input data'!I121</f>
        <v>424.26313389388866</v>
      </c>
      <c r="I101" s="474">
        <f>'Input data'!K121</f>
        <v>25452.215928626742</v>
      </c>
      <c r="J101" s="474">
        <f>J97*0.65</f>
        <v>7243.6204632745166</v>
      </c>
      <c r="K101" s="475">
        <f t="shared" si="77"/>
        <v>4584.4938240444126</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83.854267924368514</v>
      </c>
      <c r="R101" s="474">
        <f t="shared" si="34"/>
        <v>58.51611439285017</v>
      </c>
      <c r="S101" s="474">
        <f t="shared" si="35"/>
        <v>171.35941615291358</v>
      </c>
      <c r="T101" s="474">
        <f t="shared" si="36"/>
        <v>115.38270365905373</v>
      </c>
      <c r="U101" s="475">
        <f t="shared" si="37"/>
        <v>0</v>
      </c>
      <c r="V101" s="474">
        <f t="shared" si="38"/>
        <v>429.112502129186</v>
      </c>
      <c r="W101" s="579">
        <v>0.4</v>
      </c>
      <c r="X101" s="475">
        <f t="shared" si="39"/>
        <v>2426.7883762416568</v>
      </c>
      <c r="Y101" s="473">
        <f t="shared" si="78"/>
        <v>2855.9008783708427</v>
      </c>
      <c r="Z101" s="474">
        <f t="shared" si="79"/>
        <v>8972.213408948086</v>
      </c>
      <c r="AA101" s="475">
        <f t="shared" si="80"/>
        <v>1728.5929456735694</v>
      </c>
      <c r="AB101" s="938">
        <f t="shared" si="40"/>
        <v>0.19266070331648874</v>
      </c>
      <c r="AC101" s="118" t="str">
        <f t="shared" si="41"/>
        <v>Yes</v>
      </c>
      <c r="AD101" s="938">
        <f t="shared" si="42"/>
        <v>0.19266070331648874</v>
      </c>
      <c r="AE101" s="579">
        <f t="shared" si="10"/>
        <v>9.726841017376453E-2</v>
      </c>
      <c r="AF101" s="475">
        <f t="shared" si="43"/>
        <v>382.99573336469109</v>
      </c>
      <c r="AG101" s="474">
        <f t="shared" si="44"/>
        <v>7243.6204632745166</v>
      </c>
      <c r="AH101" s="474">
        <f t="shared" si="81"/>
        <v>7405.9355442178767</v>
      </c>
      <c r="AI101" s="474">
        <f t="shared" si="82"/>
        <v>5830.9633715541659</v>
      </c>
      <c r="AJ101" s="474">
        <f t="shared" si="11"/>
        <v>2495.9999708032969</v>
      </c>
      <c r="AK101" s="474">
        <f t="shared" si="45"/>
        <v>22976.519349849852</v>
      </c>
      <c r="AL101" s="640">
        <f t="shared" si="12"/>
        <v>0</v>
      </c>
      <c r="AM101" s="100">
        <f t="shared" si="46"/>
        <v>0.31526187030246827</v>
      </c>
      <c r="AN101" s="100">
        <f t="shared" si="47"/>
        <v>0.32232625975466878</v>
      </c>
      <c r="AO101" s="100">
        <f t="shared" si="48"/>
        <v>0.25377922925442015</v>
      </c>
      <c r="AP101" s="100">
        <f t="shared" si="49"/>
        <v>0.108632640688443</v>
      </c>
      <c r="AQ101" s="100">
        <f t="shared" si="50"/>
        <v>1.0000000000000002</v>
      </c>
      <c r="AR101" s="473">
        <f t="shared" si="13"/>
        <v>1428.1962066120468</v>
      </c>
      <c r="AS101" s="474">
        <f t="shared" si="14"/>
        <v>1811.3391693501608</v>
      </c>
      <c r="AT101" s="474">
        <f t="shared" si="15"/>
        <v>495.69314011643525</v>
      </c>
      <c r="AU101" s="474">
        <f t="shared" si="16"/>
        <v>0</v>
      </c>
      <c r="AV101" s="474">
        <f t="shared" si="17"/>
        <v>0</v>
      </c>
      <c r="AW101" s="474">
        <f t="shared" si="18"/>
        <v>0</v>
      </c>
      <c r="AX101" s="474">
        <f t="shared" si="19"/>
        <v>2397.9866316299795</v>
      </c>
      <c r="AY101" s="474">
        <f t="shared" si="20"/>
        <v>299.45183426330141</v>
      </c>
      <c r="AZ101" s="474">
        <f t="shared" si="21"/>
        <v>365.5730292421627</v>
      </c>
      <c r="BA101" s="474">
        <f t="shared" si="22"/>
        <v>349.83112675197412</v>
      </c>
      <c r="BB101" s="474">
        <f t="shared" si="23"/>
        <v>95.549325308454769</v>
      </c>
      <c r="BC101" s="475">
        <f t="shared" si="51"/>
        <v>7243.6204632745166</v>
      </c>
      <c r="BD101" s="647">
        <f t="shared" si="52"/>
        <v>0</v>
      </c>
      <c r="BE101" s="383">
        <f t="shared" si="53"/>
        <v>0.19716607376836848</v>
      </c>
      <c r="BF101" s="383">
        <f t="shared" si="54"/>
        <v>0.2500599221803147</v>
      </c>
      <c r="BG101" s="383">
        <f t="shared" si="55"/>
        <v>6.8431683110624295E-2</v>
      </c>
      <c r="BH101" s="383">
        <f t="shared" si="56"/>
        <v>0</v>
      </c>
      <c r="BI101" s="383">
        <f t="shared" si="57"/>
        <v>0</v>
      </c>
      <c r="BJ101" s="383">
        <f t="shared" si="58"/>
        <v>0</v>
      </c>
      <c r="BK101" s="383">
        <f t="shared" si="59"/>
        <v>0.48434232094069229</v>
      </c>
      <c r="BL101" s="383">
        <f t="shared" si="60"/>
        <v>0.99999999999999978</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98.620788883201101</v>
      </c>
      <c r="BW101" s="100">
        <f t="shared" si="63"/>
        <v>0.47547133342759096</v>
      </c>
      <c r="BX101" s="1385">
        <f t="shared" si="24"/>
        <v>50.546075397081104</v>
      </c>
      <c r="BY101" s="473">
        <f t="shared" si="64"/>
        <v>98.620788883201101</v>
      </c>
      <c r="BZ101" s="100">
        <f t="shared" si="65"/>
        <v>0.47547133342759096</v>
      </c>
      <c r="CA101" s="489">
        <f t="shared" si="25"/>
        <v>50.546075397081104</v>
      </c>
      <c r="CB101" s="579">
        <f t="shared" si="26"/>
        <v>9.726841017376453E-2</v>
      </c>
      <c r="CC101" s="471">
        <f t="shared" si="66"/>
        <v>0.2626773687912114</v>
      </c>
      <c r="CD101" s="100">
        <f t="shared" si="27"/>
        <v>9.726841017376453E-2</v>
      </c>
      <c r="CE101" s="471">
        <f t="shared" si="67"/>
        <v>0.2626773687912114</v>
      </c>
      <c r="CG101" s="473">
        <f t="shared" si="68"/>
        <v>1401.0650599029839</v>
      </c>
      <c r="CH101" s="474">
        <f t="shared" si="69"/>
        <v>568.37814792932511</v>
      </c>
      <c r="CI101" s="474">
        <f t="shared" si="70"/>
        <v>2280.5386128435684</v>
      </c>
      <c r="CJ101" s="474">
        <f t="shared" si="71"/>
        <v>3115.3329987944608</v>
      </c>
      <c r="CK101" s="474">
        <f t="shared" si="72"/>
        <v>40.620724747537743</v>
      </c>
      <c r="CL101" s="474">
        <f t="shared" si="73"/>
        <v>7405.9355442178758</v>
      </c>
      <c r="CM101" s="576">
        <f t="shared" si="74"/>
        <v>0</v>
      </c>
    </row>
    <row r="102" spans="1:91" s="1" customFormat="1">
      <c r="A102" s="89">
        <f>'Input data'!A122</f>
        <v>2022</v>
      </c>
      <c r="B102" s="152">
        <f>'Input data'!B122</f>
        <v>60.682333816399378</v>
      </c>
      <c r="C102" s="204">
        <f>'Input data'!C122</f>
        <v>4414.4786843532656</v>
      </c>
      <c r="D102" s="204">
        <f>'Input data'!D122</f>
        <v>50359792.84713313</v>
      </c>
      <c r="E102" s="579">
        <f t="shared" si="75"/>
        <v>0.82449230769230786</v>
      </c>
      <c r="F102" s="100">
        <f t="shared" si="76"/>
        <v>0.32052307692307697</v>
      </c>
      <c r="G102" s="475">
        <f>B102*F102*'Input data'!$C$9</f>
        <v>595.31061323185247</v>
      </c>
      <c r="H102" s="301">
        <f>'Input data'!I122</f>
        <v>424.26313389388866</v>
      </c>
      <c r="I102" s="474">
        <f>'Input data'!K122</f>
        <v>25745.277116940699</v>
      </c>
      <c r="J102" s="474">
        <f>J97*(1-$G$4)</f>
        <v>5572.0157409803969</v>
      </c>
      <c r="K102" s="475">
        <f t="shared" si="77"/>
        <v>6392.2894869731472</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106.02472547011826</v>
      </c>
      <c r="R102" s="474">
        <f t="shared" si="34"/>
        <v>73.987348737881234</v>
      </c>
      <c r="S102" s="474">
        <f t="shared" si="35"/>
        <v>216.66559739951617</v>
      </c>
      <c r="T102" s="474">
        <f t="shared" si="36"/>
        <v>145.88904992271819</v>
      </c>
      <c r="U102" s="475">
        <f t="shared" si="37"/>
        <v>0</v>
      </c>
      <c r="V102" s="474">
        <f t="shared" si="38"/>
        <v>542.56672153023385</v>
      </c>
      <c r="W102" s="579">
        <f>$E$26</f>
        <v>0.5</v>
      </c>
      <c r="X102" s="475">
        <f t="shared" si="39"/>
        <v>3033.4854703020706</v>
      </c>
      <c r="Y102" s="473">
        <f t="shared" si="78"/>
        <v>3576.0521918323043</v>
      </c>
      <c r="Z102" s="474">
        <f t="shared" si="79"/>
        <v>8388.2530361212393</v>
      </c>
      <c r="AA102" s="475">
        <f t="shared" si="80"/>
        <v>2816.2372951408424</v>
      </c>
      <c r="AB102" s="938">
        <f t="shared" si="40"/>
        <v>0.33573585382005611</v>
      </c>
      <c r="AC102" s="118" t="str">
        <f t="shared" si="41"/>
        <v>Yes</v>
      </c>
      <c r="AD102" s="938">
        <f t="shared" si="42"/>
        <v>0.33573585382005611</v>
      </c>
      <c r="AE102" s="579">
        <f t="shared" si="10"/>
        <v>0.15764324460297707</v>
      </c>
      <c r="AF102" s="475">
        <f t="shared" si="43"/>
        <v>357.3809169014288</v>
      </c>
      <c r="AG102" s="474">
        <f t="shared" si="44"/>
        <v>5572.0157409803969</v>
      </c>
      <c r="AH102" s="474">
        <f t="shared" si="81"/>
        <v>7599.7221031332629</v>
      </c>
      <c r="AI102" s="474">
        <f t="shared" si="82"/>
        <v>6437.6604656145792</v>
      </c>
      <c r="AJ102" s="474">
        <f t="shared" si="11"/>
        <v>2077.3097892951496</v>
      </c>
      <c r="AK102" s="474">
        <f t="shared" si="45"/>
        <v>21686.708099023388</v>
      </c>
      <c r="AL102" s="640">
        <f t="shared" si="12"/>
        <v>0</v>
      </c>
      <c r="AM102" s="100">
        <f t="shared" si="46"/>
        <v>0.25693229767920933</v>
      </c>
      <c r="AN102" s="100">
        <f t="shared" si="47"/>
        <v>0.35043225871037104</v>
      </c>
      <c r="AO102" s="100">
        <f t="shared" si="48"/>
        <v>0.29684820933724304</v>
      </c>
      <c r="AP102" s="100">
        <f t="shared" si="49"/>
        <v>9.5787234273176591E-2</v>
      </c>
      <c r="AQ102" s="100">
        <f t="shared" si="50"/>
        <v>1</v>
      </c>
      <c r="AR102" s="473">
        <f t="shared" si="13"/>
        <v>1019.135616310381</v>
      </c>
      <c r="AS102" s="474">
        <f t="shared" si="14"/>
        <v>1292.5396749805643</v>
      </c>
      <c r="AT102" s="474">
        <f t="shared" si="15"/>
        <v>398.45767442509401</v>
      </c>
      <c r="AU102" s="474">
        <f t="shared" si="16"/>
        <v>0</v>
      </c>
      <c r="AV102" s="474">
        <f t="shared" si="17"/>
        <v>0</v>
      </c>
      <c r="AW102" s="474">
        <f t="shared" si="18"/>
        <v>0</v>
      </c>
      <c r="AX102" s="474">
        <f t="shared" si="19"/>
        <v>1995.737645333661</v>
      </c>
      <c r="AY102" s="474">
        <f t="shared" si="20"/>
        <v>239.39101771219828</v>
      </c>
      <c r="AZ102" s="474">
        <f t="shared" si="21"/>
        <v>275.46553916226009</v>
      </c>
      <c r="BA102" s="474">
        <f t="shared" si="22"/>
        <v>271.76711827035427</v>
      </c>
      <c r="BB102" s="474">
        <f t="shared" si="23"/>
        <v>79.521454785883094</v>
      </c>
      <c r="BC102" s="475">
        <f t="shared" si="51"/>
        <v>5572.015740980396</v>
      </c>
      <c r="BD102" s="647">
        <f t="shared" si="52"/>
        <v>0</v>
      </c>
      <c r="BE102" s="383">
        <f t="shared" si="53"/>
        <v>0.18290250130037575</v>
      </c>
      <c r="BF102" s="383">
        <f t="shared" si="54"/>
        <v>0.2319698534722987</v>
      </c>
      <c r="BG102" s="383">
        <f t="shared" si="55"/>
        <v>7.1510507677601323E-2</v>
      </c>
      <c r="BH102" s="383">
        <f t="shared" si="56"/>
        <v>0</v>
      </c>
      <c r="BI102" s="383">
        <f t="shared" si="57"/>
        <v>0</v>
      </c>
      <c r="BJ102" s="383">
        <f t="shared" si="58"/>
        <v>0</v>
      </c>
      <c r="BK102" s="383">
        <f t="shared" si="59"/>
        <v>0.51361713754972427</v>
      </c>
      <c r="BL102" s="383">
        <f t="shared" si="60"/>
        <v>1</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95.433860414271194</v>
      </c>
      <c r="BW102" s="100">
        <f t="shared" si="63"/>
        <v>0.51509093280146467</v>
      </c>
      <c r="BX102" s="1385">
        <f t="shared" si="24"/>
        <v>50.359792847133129</v>
      </c>
      <c r="BY102" s="473">
        <f t="shared" si="64"/>
        <v>95.433860414271194</v>
      </c>
      <c r="BZ102" s="100">
        <f t="shared" si="65"/>
        <v>0.51509093280146467</v>
      </c>
      <c r="CA102" s="489">
        <f t="shared" si="25"/>
        <v>50.359792847133129</v>
      </c>
      <c r="CB102" s="579">
        <f t="shared" si="26"/>
        <v>0.15764324460297707</v>
      </c>
      <c r="CC102" s="471">
        <f t="shared" si="66"/>
        <v>0.28726458187406279</v>
      </c>
      <c r="CD102" s="100">
        <f t="shared" si="27"/>
        <v>0.15764324460297707</v>
      </c>
      <c r="CE102" s="471">
        <f t="shared" si="67"/>
        <v>0.28726458187406279</v>
      </c>
      <c r="CG102" s="473">
        <f t="shared" si="68"/>
        <v>1438.4021088779325</v>
      </c>
      <c r="CH102" s="474">
        <f t="shared" si="69"/>
        <v>589.72002135125922</v>
      </c>
      <c r="CI102" s="474">
        <f t="shared" si="70"/>
        <v>2350.1302458356136</v>
      </c>
      <c r="CJ102" s="474">
        <f t="shared" si="71"/>
        <v>3180.3812883152686</v>
      </c>
      <c r="CK102" s="474">
        <f t="shared" si="72"/>
        <v>41.088438753189351</v>
      </c>
      <c r="CL102" s="474">
        <f t="shared" si="73"/>
        <v>7599.7221031332638</v>
      </c>
      <c r="CM102" s="576">
        <f t="shared" si="74"/>
        <v>0</v>
      </c>
    </row>
    <row r="103" spans="1:91">
      <c r="A103" s="89">
        <f>'Input data'!A123</f>
        <v>2023</v>
      </c>
      <c r="B103" s="152">
        <f>'Input data'!B123</f>
        <v>61.381040636574369</v>
      </c>
      <c r="C103" s="204">
        <f>'Input data'!C123</f>
        <v>4492.6346436826334</v>
      </c>
      <c r="D103" s="204">
        <f>'Input data'!D123</f>
        <v>48665382.683029473</v>
      </c>
      <c r="E103" s="579">
        <f t="shared" si="75"/>
        <v>0.84643076923076943</v>
      </c>
      <c r="F103" s="100">
        <f t="shared" si="76"/>
        <v>0.32670769230769237</v>
      </c>
      <c r="G103" s="475">
        <f>B103*F103*'Input data'!$C$9</f>
        <v>613.78412832495871</v>
      </c>
      <c r="H103" s="301">
        <f>'Input data'!I123</f>
        <v>424.26313389388866</v>
      </c>
      <c r="I103" s="474">
        <f>'Input data'!K123</f>
        <v>26041.712662141173</v>
      </c>
      <c r="J103" s="474">
        <f>($J$107-$J$102)/($A$107-$A$102)+J102</f>
        <v>5237.6947965215732</v>
      </c>
      <c r="K103" s="475">
        <f t="shared" si="77"/>
        <v>6864.3694979622578</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128.6946148561783</v>
      </c>
      <c r="R103" s="474">
        <f t="shared" si="34"/>
        <v>89.807102143687757</v>
      </c>
      <c r="S103" s="474">
        <f t="shared" si="35"/>
        <v>262.99238678786514</v>
      </c>
      <c r="T103" s="474">
        <f t="shared" si="36"/>
        <v>177.08260981849526</v>
      </c>
      <c r="U103" s="475">
        <f t="shared" si="37"/>
        <v>0</v>
      </c>
      <c r="V103" s="474">
        <f t="shared" si="38"/>
        <v>658.57671360622646</v>
      </c>
      <c r="W103" s="579">
        <f>($N$147-$N$142)/($A$107-$A$102)+W102</f>
        <v>0.5</v>
      </c>
      <c r="X103" s="475">
        <f t="shared" si="39"/>
        <v>3033.4854703020706</v>
      </c>
      <c r="Y103" s="473">
        <f t="shared" si="78"/>
        <v>3692.0621839082969</v>
      </c>
      <c r="Z103" s="474">
        <f t="shared" si="79"/>
        <v>8410.0021105755332</v>
      </c>
      <c r="AA103" s="475">
        <f t="shared" si="80"/>
        <v>3172.30731405396</v>
      </c>
      <c r="AB103" s="938">
        <f t="shared" si="40"/>
        <v>0.37720648251262628</v>
      </c>
      <c r="AC103" s="118" t="str">
        <f t="shared" si="41"/>
        <v>Yes</v>
      </c>
      <c r="AD103" s="938">
        <f t="shared" si="42"/>
        <v>0.37720648251262628</v>
      </c>
      <c r="AE103" s="579">
        <f t="shared" si="10"/>
        <v>0.17661362793734681</v>
      </c>
      <c r="AF103" s="475">
        <f t="shared" si="43"/>
        <v>349.33248261682064</v>
      </c>
      <c r="AG103" s="474">
        <f t="shared" si="44"/>
        <v>5237.6947965215732</v>
      </c>
      <c r="AH103" s="474">
        <f t="shared" si="81"/>
        <v>7796.9893950863434</v>
      </c>
      <c r="AI103" s="474">
        <f t="shared" si="82"/>
        <v>6437.6604656145792</v>
      </c>
      <c r="AJ103" s="474">
        <f t="shared" si="11"/>
        <v>1970.0466539559834</v>
      </c>
      <c r="AK103" s="474">
        <f t="shared" si="45"/>
        <v>21442.391311178479</v>
      </c>
      <c r="AL103" s="640">
        <f t="shared" si="12"/>
        <v>0</v>
      </c>
      <c r="AM103" s="100">
        <f t="shared" si="46"/>
        <v>0.24426822179068367</v>
      </c>
      <c r="AN103" s="100">
        <f t="shared" si="47"/>
        <v>0.36362499321713104</v>
      </c>
      <c r="AO103" s="100">
        <f t="shared" si="48"/>
        <v>0.30023052803156608</v>
      </c>
      <c r="AP103" s="100">
        <f t="shared" si="49"/>
        <v>9.1876256960619254E-2</v>
      </c>
      <c r="AQ103" s="100">
        <f t="shared" si="50"/>
        <v>1</v>
      </c>
      <c r="AR103" s="473">
        <f t="shared" si="13"/>
        <v>976.10205422369711</v>
      </c>
      <c r="AS103" s="474">
        <f t="shared" si="14"/>
        <v>1237.9614761004675</v>
      </c>
      <c r="AT103" s="474">
        <f t="shared" si="15"/>
        <v>364.52471174043808</v>
      </c>
      <c r="AU103" s="474">
        <f t="shared" si="16"/>
        <v>0</v>
      </c>
      <c r="AV103" s="474">
        <f t="shared" si="17"/>
        <v>0</v>
      </c>
      <c r="AW103" s="474">
        <f t="shared" si="18"/>
        <v>0</v>
      </c>
      <c r="AX103" s="474">
        <f t="shared" si="19"/>
        <v>1892.6865365120302</v>
      </c>
      <c r="AY103" s="474">
        <f t="shared" si="20"/>
        <v>217.70803893721899</v>
      </c>
      <c r="AZ103" s="474">
        <f t="shared" si="21"/>
        <v>233.94338542908716</v>
      </c>
      <c r="BA103" s="474">
        <f t="shared" si="22"/>
        <v>239.35327674628138</v>
      </c>
      <c r="BB103" s="474">
        <f t="shared" si="23"/>
        <v>75.415316832352445</v>
      </c>
      <c r="BC103" s="475">
        <f t="shared" si="51"/>
        <v>5237.6947965215732</v>
      </c>
      <c r="BD103" s="647">
        <f t="shared" si="52"/>
        <v>0</v>
      </c>
      <c r="BE103" s="383">
        <f t="shared" si="53"/>
        <v>0.18636100272049838</v>
      </c>
      <c r="BF103" s="383">
        <f t="shared" si="54"/>
        <v>0.23635616892427852</v>
      </c>
      <c r="BG103" s="383">
        <f t="shared" si="55"/>
        <v>6.9596401833593682E-2</v>
      </c>
      <c r="BH103" s="383">
        <f t="shared" si="56"/>
        <v>0</v>
      </c>
      <c r="BI103" s="383">
        <f t="shared" si="57"/>
        <v>0</v>
      </c>
      <c r="BJ103" s="383">
        <f t="shared" si="58"/>
        <v>0</v>
      </c>
      <c r="BK103" s="383">
        <f t="shared" si="59"/>
        <v>0.50768642652162943</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93.895881738038739</v>
      </c>
      <c r="BW103" s="100">
        <f t="shared" si="63"/>
        <v>0.53878834184779778</v>
      </c>
      <c r="BX103" s="1385">
        <f t="shared" si="24"/>
        <v>48.66538268302947</v>
      </c>
      <c r="BY103" s="473">
        <f t="shared" si="64"/>
        <v>93.895881738038739</v>
      </c>
      <c r="BZ103" s="100">
        <f t="shared" si="65"/>
        <v>0.53878834184779778</v>
      </c>
      <c r="CA103" s="489">
        <f t="shared" si="25"/>
        <v>48.66538268302947</v>
      </c>
      <c r="CB103" s="579">
        <f t="shared" si="26"/>
        <v>0.17661362793734681</v>
      </c>
      <c r="CC103" s="471">
        <f t="shared" si="66"/>
        <v>0.29462639386268963</v>
      </c>
      <c r="CD103" s="100">
        <f t="shared" si="27"/>
        <v>0.17661362793734681</v>
      </c>
      <c r="CE103" s="471">
        <f t="shared" si="67"/>
        <v>0.29462639386268963</v>
      </c>
      <c r="CG103" s="473">
        <f t="shared" si="68"/>
        <v>1476.4132204333737</v>
      </c>
      <c r="CH103" s="474">
        <f t="shared" si="69"/>
        <v>611.47800938120383</v>
      </c>
      <c r="CI103" s="474">
        <f t="shared" si="70"/>
        <v>2421.0221138343977</v>
      </c>
      <c r="CJ103" s="474">
        <f t="shared" si="71"/>
        <v>3246.5145133390856</v>
      </c>
      <c r="CK103" s="474">
        <f t="shared" si="72"/>
        <v>41.561538098281396</v>
      </c>
      <c r="CL103" s="474">
        <f t="shared" si="73"/>
        <v>7796.9893950863425</v>
      </c>
      <c r="CM103" s="576">
        <f t="shared" si="74"/>
        <v>0</v>
      </c>
    </row>
    <row r="104" spans="1:91">
      <c r="A104" s="89">
        <f>'Input data'!A124</f>
        <v>2024</v>
      </c>
      <c r="B104" s="152">
        <f>'Input data'!B124</f>
        <v>62.087792487153699</v>
      </c>
      <c r="C104" s="204">
        <f>'Input data'!C124</f>
        <v>4579.7873251148294</v>
      </c>
      <c r="D104" s="204">
        <f>'Input data'!D124</f>
        <v>48951332.662830688</v>
      </c>
      <c r="E104" s="579">
        <f t="shared" si="75"/>
        <v>0.868369230769231</v>
      </c>
      <c r="F104" s="100">
        <f t="shared" si="76"/>
        <v>0.33289230769230777</v>
      </c>
      <c r="G104" s="475">
        <f>B104*F104*'Input data'!$C$9</f>
        <v>632.60413388193626</v>
      </c>
      <c r="H104" s="301">
        <f>'Input data'!I124</f>
        <v>424.26313389388866</v>
      </c>
      <c r="I104" s="474">
        <f>'Input data'!K124</f>
        <v>26341.561417153265</v>
      </c>
      <c r="J104" s="474">
        <f t="shared" ref="J104:J106" si="85">($J$107-$J$102)/($A$107-$A$102)+J103</f>
        <v>4903.3738520627494</v>
      </c>
      <c r="K104" s="475">
        <f t="shared" si="77"/>
        <v>7338.035690518097</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151.87249789664475</v>
      </c>
      <c r="R104" s="474">
        <f t="shared" si="34"/>
        <v>105.98134931025186</v>
      </c>
      <c r="S104" s="474">
        <f t="shared" si="35"/>
        <v>310.35728071380208</v>
      </c>
      <c r="T104" s="474">
        <f t="shared" si="36"/>
        <v>208.97516432406155</v>
      </c>
      <c r="U104" s="475">
        <f t="shared" si="37"/>
        <v>0</v>
      </c>
      <c r="V104" s="474">
        <f t="shared" si="38"/>
        <v>777.18629224476024</v>
      </c>
      <c r="W104" s="579">
        <f>($N$147-$N$142)/($A$107-$A$102)+W103</f>
        <v>0.5</v>
      </c>
      <c r="X104" s="475">
        <f t="shared" si="39"/>
        <v>3033.4854703020706</v>
      </c>
      <c r="Y104" s="473">
        <f t="shared" si="78"/>
        <v>3810.6717625468309</v>
      </c>
      <c r="Z104" s="474">
        <f t="shared" si="79"/>
        <v>8430.7377800340146</v>
      </c>
      <c r="AA104" s="475">
        <f t="shared" si="80"/>
        <v>3527.3639279712652</v>
      </c>
      <c r="AB104" s="938">
        <f t="shared" si="40"/>
        <v>0.41839326758862067</v>
      </c>
      <c r="AC104" s="118" t="str">
        <f t="shared" si="41"/>
        <v>Yes</v>
      </c>
      <c r="AD104" s="938">
        <f t="shared" si="42"/>
        <v>0.41839326758862067</v>
      </c>
      <c r="AE104" s="579">
        <f t="shared" si="10"/>
        <v>0.19519681863773264</v>
      </c>
      <c r="AF104" s="475">
        <f t="shared" si="43"/>
        <v>341.44831989252719</v>
      </c>
      <c r="AG104" s="474">
        <f t="shared" si="44"/>
        <v>4903.3738520627494</v>
      </c>
      <c r="AH104" s="474">
        <f t="shared" si="81"/>
        <v>7997.7918841172896</v>
      </c>
      <c r="AI104" s="474">
        <f t="shared" si="82"/>
        <v>6437.6604656145792</v>
      </c>
      <c r="AJ104" s="474">
        <f t="shared" si="11"/>
        <v>1860.9462287798847</v>
      </c>
      <c r="AK104" s="474">
        <f t="shared" si="45"/>
        <v>21199.772430574503</v>
      </c>
      <c r="AL104" s="640">
        <f t="shared" si="12"/>
        <v>0</v>
      </c>
      <c r="AM104" s="100">
        <f t="shared" si="46"/>
        <v>0.23129370223762682</v>
      </c>
      <c r="AN104" s="100">
        <f t="shared" si="47"/>
        <v>0.37725838380146015</v>
      </c>
      <c r="AO104" s="100">
        <f t="shared" si="48"/>
        <v>0.3036664891897673</v>
      </c>
      <c r="AP104" s="100">
        <f t="shared" si="49"/>
        <v>8.7781424771145714E-2</v>
      </c>
      <c r="AQ104" s="100">
        <f t="shared" si="50"/>
        <v>1</v>
      </c>
      <c r="AR104" s="473">
        <f t="shared" si="13"/>
        <v>931.00179754693477</v>
      </c>
      <c r="AS104" s="474">
        <f t="shared" si="14"/>
        <v>1180.7621493635941</v>
      </c>
      <c r="AT104" s="474">
        <f t="shared" si="15"/>
        <v>331.71889252091779</v>
      </c>
      <c r="AU104" s="474">
        <f t="shared" si="16"/>
        <v>0</v>
      </c>
      <c r="AV104" s="474">
        <f t="shared" si="17"/>
        <v>0</v>
      </c>
      <c r="AW104" s="474">
        <f t="shared" si="18"/>
        <v>0</v>
      </c>
      <c r="AX104" s="474">
        <f t="shared" si="19"/>
        <v>1787.8702848542894</v>
      </c>
      <c r="AY104" s="474">
        <f t="shared" si="20"/>
        <v>196.84581352580756</v>
      </c>
      <c r="AZ104" s="474">
        <f t="shared" si="21"/>
        <v>195.20113597325738</v>
      </c>
      <c r="BA104" s="474">
        <f t="shared" si="22"/>
        <v>208.73493265488335</v>
      </c>
      <c r="BB104" s="474">
        <f t="shared" si="23"/>
        <v>71.238845623065188</v>
      </c>
      <c r="BC104" s="475">
        <f t="shared" si="51"/>
        <v>4903.3738520627512</v>
      </c>
      <c r="BD104" s="647">
        <f t="shared" si="52"/>
        <v>0</v>
      </c>
      <c r="BE104" s="383">
        <f t="shared" si="53"/>
        <v>0.18986963377374966</v>
      </c>
      <c r="BF104" s="383">
        <f t="shared" si="54"/>
        <v>0.24080606231296661</v>
      </c>
      <c r="BG104" s="383">
        <f t="shared" si="55"/>
        <v>6.7651152559246586E-2</v>
      </c>
      <c r="BH104" s="383">
        <f t="shared" si="56"/>
        <v>0</v>
      </c>
      <c r="BI104" s="383">
        <f t="shared" si="57"/>
        <v>0</v>
      </c>
      <c r="BJ104" s="383">
        <f t="shared" si="58"/>
        <v>0</v>
      </c>
      <c r="BK104" s="383">
        <f t="shared" si="59"/>
        <v>0.50167315135403667</v>
      </c>
      <c r="BL104" s="383">
        <f t="shared" si="60"/>
        <v>0.99999999999999956</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94.386092219277771</v>
      </c>
      <c r="BW104" s="100">
        <f t="shared" si="63"/>
        <v>0.55585830214516707</v>
      </c>
      <c r="BX104" s="1385">
        <f t="shared" si="24"/>
        <v>48.951332662830687</v>
      </c>
      <c r="BY104" s="473">
        <f t="shared" si="64"/>
        <v>94.386092219277771</v>
      </c>
      <c r="BZ104" s="100">
        <f t="shared" si="65"/>
        <v>0.55585830214516707</v>
      </c>
      <c r="CA104" s="489">
        <f t="shared" si="25"/>
        <v>48.951332662830687</v>
      </c>
      <c r="CB104" s="579">
        <f t="shared" si="26"/>
        <v>0.19519681863773264</v>
      </c>
      <c r="CC104" s="471">
        <f t="shared" si="66"/>
        <v>0.29663005775103268</v>
      </c>
      <c r="CD104" s="100">
        <f t="shared" si="27"/>
        <v>0.19519681863773264</v>
      </c>
      <c r="CE104" s="471">
        <f t="shared" si="67"/>
        <v>0.29663005775103268</v>
      </c>
      <c r="CG104" s="473">
        <f t="shared" si="68"/>
        <v>1515.1089671117584</v>
      </c>
      <c r="CH104" s="474">
        <f t="shared" si="69"/>
        <v>633.65886502588842</v>
      </c>
      <c r="CI104" s="474">
        <f t="shared" si="70"/>
        <v>2493.2349329075432</v>
      </c>
      <c r="CJ104" s="474">
        <f t="shared" si="71"/>
        <v>3313.7490342815627</v>
      </c>
      <c r="CK104" s="474">
        <f t="shared" si="72"/>
        <v>42.040084790537726</v>
      </c>
      <c r="CL104" s="474">
        <f t="shared" si="73"/>
        <v>7997.7918841172905</v>
      </c>
      <c r="CM104" s="576">
        <f t="shared" si="74"/>
        <v>0</v>
      </c>
    </row>
    <row r="105" spans="1:91">
      <c r="A105" s="89">
        <f>'Input data'!A125</f>
        <v>2025</v>
      </c>
      <c r="B105" s="152">
        <f>'Input data'!B125</f>
        <v>62.802682000000026</v>
      </c>
      <c r="C105" s="204">
        <f>'Input data'!C125</f>
        <v>4678.6267528880244</v>
      </c>
      <c r="D105" s="204">
        <f>'Input data'!D125</f>
        <v>48538822.712079689</v>
      </c>
      <c r="E105" s="579">
        <f t="shared" si="75"/>
        <v>0.89030769230769258</v>
      </c>
      <c r="F105" s="100">
        <f t="shared" si="76"/>
        <v>0.33907692307692316</v>
      </c>
      <c r="G105" s="475">
        <f>B105*F105*'Input data'!$C$9</f>
        <v>651.77615985670707</v>
      </c>
      <c r="H105" s="301">
        <f>'Input data'!I125</f>
        <v>424.26313389388866</v>
      </c>
      <c r="I105" s="474">
        <f>'Input data'!K125</f>
        <v>26644.862682261322</v>
      </c>
      <c r="J105" s="474">
        <f t="shared" si="85"/>
        <v>4569.0529076039256</v>
      </c>
      <c r="K105" s="475">
        <f t="shared" si="77"/>
        <v>7813.3063282078183</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175.56706735725811</v>
      </c>
      <c r="R105" s="474">
        <f t="shared" si="34"/>
        <v>122.51615631968355</v>
      </c>
      <c r="S105" s="474">
        <f t="shared" si="35"/>
        <v>358.77804317788559</v>
      </c>
      <c r="T105" s="474">
        <f t="shared" si="36"/>
        <v>241.57867460535908</v>
      </c>
      <c r="U105" s="475">
        <f t="shared" si="37"/>
        <v>0</v>
      </c>
      <c r="V105" s="474">
        <f t="shared" si="38"/>
        <v>898.43994146018633</v>
      </c>
      <c r="W105" s="579">
        <f>($N$147-$N$142)/($A$107-$A$102)+W104</f>
        <v>0.5</v>
      </c>
      <c r="X105" s="475">
        <f t="shared" si="39"/>
        <v>3033.4854703020706</v>
      </c>
      <c r="Y105" s="473">
        <f t="shared" si="78"/>
        <v>3931.9254117622568</v>
      </c>
      <c r="Z105" s="474">
        <f t="shared" si="79"/>
        <v>8450.4338240494872</v>
      </c>
      <c r="AA105" s="475">
        <f t="shared" si="80"/>
        <v>3881.3809164455615</v>
      </c>
      <c r="AB105" s="938">
        <f t="shared" si="40"/>
        <v>0.459311438591396</v>
      </c>
      <c r="AC105" s="118" t="str">
        <f t="shared" si="41"/>
        <v>Yes</v>
      </c>
      <c r="AD105" s="938">
        <f t="shared" si="42"/>
        <v>0.459311438591396</v>
      </c>
      <c r="AE105" s="579">
        <f t="shared" si="10"/>
        <v>0.21340034507035144</v>
      </c>
      <c r="AF105" s="475">
        <f t="shared" si="43"/>
        <v>333.72523472030412</v>
      </c>
      <c r="AG105" s="474">
        <f t="shared" si="44"/>
        <v>4569.0529076039256</v>
      </c>
      <c r="AH105" s="474">
        <f t="shared" si="81"/>
        <v>8202.1848270207192</v>
      </c>
      <c r="AI105" s="474">
        <f t="shared" si="82"/>
        <v>6437.6604656145792</v>
      </c>
      <c r="AJ105" s="474">
        <f t="shared" si="11"/>
        <v>1749.9415912754064</v>
      </c>
      <c r="AK105" s="474">
        <f t="shared" si="45"/>
        <v>20958.839791514627</v>
      </c>
      <c r="AL105" s="640">
        <f t="shared" si="12"/>
        <v>0</v>
      </c>
      <c r="AM105" s="100">
        <f t="shared" si="46"/>
        <v>0.21800123256124831</v>
      </c>
      <c r="AN105" s="100">
        <f t="shared" si="47"/>
        <v>0.39134727440120265</v>
      </c>
      <c r="AO105" s="100">
        <f t="shared" si="48"/>
        <v>0.30715729160833238</v>
      </c>
      <c r="AP105" s="100">
        <f t="shared" si="49"/>
        <v>8.3494201429216791E-2</v>
      </c>
      <c r="AQ105" s="100">
        <f t="shared" si="50"/>
        <v>1</v>
      </c>
      <c r="AR105" s="473">
        <f t="shared" si="13"/>
        <v>883.793761908639</v>
      </c>
      <c r="AS105" s="474">
        <f t="shared" si="14"/>
        <v>1120.8895886721123</v>
      </c>
      <c r="AT105" s="474">
        <f t="shared" si="15"/>
        <v>300.06611594807072</v>
      </c>
      <c r="AU105" s="474">
        <f t="shared" si="16"/>
        <v>0</v>
      </c>
      <c r="AV105" s="474">
        <f t="shared" si="17"/>
        <v>0</v>
      </c>
      <c r="AW105" s="474">
        <f t="shared" si="18"/>
        <v>0</v>
      </c>
      <c r="AX105" s="474">
        <f t="shared" si="19"/>
        <v>1681.2245957924411</v>
      </c>
      <c r="AY105" s="474">
        <f t="shared" si="20"/>
        <v>176.82366036543934</v>
      </c>
      <c r="AZ105" s="474">
        <f t="shared" si="21"/>
        <v>159.30907465228333</v>
      </c>
      <c r="BA105" s="474">
        <f t="shared" si="22"/>
        <v>179.9566309654831</v>
      </c>
      <c r="BB105" s="474">
        <f t="shared" si="23"/>
        <v>66.989479299455425</v>
      </c>
      <c r="BC105" s="475">
        <f t="shared" si="51"/>
        <v>4569.0529076039238</v>
      </c>
      <c r="BD105" s="647">
        <f t="shared" si="52"/>
        <v>0</v>
      </c>
      <c r="BE105" s="383">
        <f t="shared" si="53"/>
        <v>0.19343040664681491</v>
      </c>
      <c r="BF105" s="383">
        <f t="shared" si="54"/>
        <v>0.24532208563545013</v>
      </c>
      <c r="BG105" s="383">
        <f t="shared" si="55"/>
        <v>6.5673591883493782E-2</v>
      </c>
      <c r="BH105" s="383">
        <f t="shared" si="56"/>
        <v>0</v>
      </c>
      <c r="BI105" s="383">
        <f t="shared" si="57"/>
        <v>0</v>
      </c>
      <c r="BJ105" s="383">
        <f t="shared" si="58"/>
        <v>0</v>
      </c>
      <c r="BK105" s="383">
        <f t="shared" si="59"/>
        <v>0.49557391583424132</v>
      </c>
      <c r="BL105" s="383">
        <f t="shared" si="60"/>
        <v>1.0000000000000002</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94.239453340824994</v>
      </c>
      <c r="BW105" s="100">
        <f t="shared" si="63"/>
        <v>0.57543432992476073</v>
      </c>
      <c r="BX105" s="1385">
        <f t="shared" si="24"/>
        <v>48.538822712079686</v>
      </c>
      <c r="BY105" s="473">
        <f t="shared" si="64"/>
        <v>94.239453340824994</v>
      </c>
      <c r="BZ105" s="100">
        <f t="shared" si="65"/>
        <v>0.57543432992476073</v>
      </c>
      <c r="CA105" s="489">
        <f t="shared" si="25"/>
        <v>48.538822712079686</v>
      </c>
      <c r="CB105" s="579">
        <f t="shared" si="26"/>
        <v>0.21340034507035144</v>
      </c>
      <c r="CC105" s="471">
        <f t="shared" si="66"/>
        <v>0.30094157176700709</v>
      </c>
      <c r="CD105" s="100">
        <f t="shared" si="27"/>
        <v>0.21340034507035144</v>
      </c>
      <c r="CE105" s="471">
        <f t="shared" si="67"/>
        <v>0.30094157176700709</v>
      </c>
      <c r="CG105" s="473">
        <f t="shared" si="68"/>
        <v>1554.5000755590524</v>
      </c>
      <c r="CH105" s="474">
        <f t="shared" si="69"/>
        <v>656.26944163572841</v>
      </c>
      <c r="CI105" s="474">
        <f t="shared" si="70"/>
        <v>2566.7897237992397</v>
      </c>
      <c r="CJ105" s="474">
        <f t="shared" si="71"/>
        <v>3382.1014444750476</v>
      </c>
      <c r="CK105" s="474">
        <f t="shared" si="72"/>
        <v>42.524141551649727</v>
      </c>
      <c r="CL105" s="474">
        <f t="shared" si="73"/>
        <v>8202.1848270207174</v>
      </c>
      <c r="CM105" s="576">
        <f t="shared" si="74"/>
        <v>0</v>
      </c>
    </row>
    <row r="106" spans="1:91">
      <c r="A106" s="89">
        <f>'Input data'!A126</f>
        <v>2026</v>
      </c>
      <c r="B106" s="152">
        <f>'Input data'!B126</f>
        <v>63.421065342005143</v>
      </c>
      <c r="C106" s="204">
        <f>'Input data'!C126</f>
        <v>4782.707139404285</v>
      </c>
      <c r="D106" s="204">
        <f>'Input data'!D126</f>
        <v>47372560.213695109</v>
      </c>
      <c r="E106" s="579">
        <f t="shared" si="75"/>
        <v>0.91224615384615415</v>
      </c>
      <c r="F106" s="100">
        <f t="shared" si="76"/>
        <v>0.34526153846153856</v>
      </c>
      <c r="G106" s="475">
        <f>B106*F106*'Input data'!$C$9</f>
        <v>670.19900886595155</v>
      </c>
      <c r="H106" s="301">
        <f>'Input data'!I126</f>
        <v>424.26313389388866</v>
      </c>
      <c r="I106" s="474">
        <f>'Input data'!K126</f>
        <v>26907.219936888188</v>
      </c>
      <c r="J106" s="474">
        <f t="shared" si="85"/>
        <v>4234.7319631451019</v>
      </c>
      <c r="K106" s="475">
        <f t="shared" si="77"/>
        <v>8269.5495288873099</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199.45775177427959</v>
      </c>
      <c r="R106" s="474">
        <f t="shared" si="34"/>
        <v>139.18781844105331</v>
      </c>
      <c r="S106" s="474">
        <f t="shared" si="35"/>
        <v>407.5995740853723</v>
      </c>
      <c r="T106" s="474">
        <f t="shared" si="36"/>
        <v>274.45203726815635</v>
      </c>
      <c r="U106" s="475">
        <f t="shared" si="37"/>
        <v>0</v>
      </c>
      <c r="V106" s="474">
        <f t="shared" si="38"/>
        <v>1020.6971815688615</v>
      </c>
      <c r="W106" s="579">
        <f>($N$147-$N$142)/($A$107-$A$102)+W105</f>
        <v>0.5</v>
      </c>
      <c r="X106" s="475">
        <f t="shared" si="39"/>
        <v>3033.4854703020706</v>
      </c>
      <c r="Y106" s="473">
        <f t="shared" si="78"/>
        <v>4054.1826518709322</v>
      </c>
      <c r="Z106" s="474">
        <f t="shared" si="79"/>
        <v>8450.0988401614813</v>
      </c>
      <c r="AA106" s="475">
        <f t="shared" si="80"/>
        <v>4215.3668770163795</v>
      </c>
      <c r="AB106" s="938">
        <f t="shared" si="40"/>
        <v>0.49885415031853331</v>
      </c>
      <c r="AC106" s="118" t="str">
        <f t="shared" si="41"/>
        <v>Yes</v>
      </c>
      <c r="AD106" s="938">
        <f t="shared" si="42"/>
        <v>0.49885415031853331</v>
      </c>
      <c r="AE106" s="579">
        <f t="shared" si="10"/>
        <v>0.23044140465623386</v>
      </c>
      <c r="AF106" s="475">
        <f t="shared" si="43"/>
        <v>326.49534137552507</v>
      </c>
      <c r="AG106" s="474">
        <f t="shared" si="44"/>
        <v>4234.7319631451019</v>
      </c>
      <c r="AH106" s="474">
        <f t="shared" si="81"/>
        <v>8396.3580112842246</v>
      </c>
      <c r="AI106" s="474">
        <f t="shared" si="82"/>
        <v>6437.6604656145792</v>
      </c>
      <c r="AJ106" s="474">
        <f t="shared" si="11"/>
        <v>1637.9319391935446</v>
      </c>
      <c r="AK106" s="474">
        <f t="shared" si="45"/>
        <v>20706.682379237453</v>
      </c>
      <c r="AL106" s="640">
        <f t="shared" si="12"/>
        <v>0</v>
      </c>
      <c r="AM106" s="100">
        <f t="shared" si="46"/>
        <v>0.20451040324022446</v>
      </c>
      <c r="AN106" s="100">
        <f t="shared" si="47"/>
        <v>0.40549025949725465</v>
      </c>
      <c r="AO106" s="100">
        <f t="shared" si="48"/>
        <v>0.31089772604372434</v>
      </c>
      <c r="AP106" s="100">
        <f t="shared" si="49"/>
        <v>7.9101611218796483E-2</v>
      </c>
      <c r="AQ106" s="100">
        <f t="shared" si="50"/>
        <v>0.99999999999999989</v>
      </c>
      <c r="AR106" s="473">
        <f t="shared" si="13"/>
        <v>833.82339101172897</v>
      </c>
      <c r="AS106" s="474">
        <f t="shared" si="14"/>
        <v>1057.5136395598799</v>
      </c>
      <c r="AT106" s="474">
        <f t="shared" si="15"/>
        <v>269.75320797639517</v>
      </c>
      <c r="AU106" s="474">
        <f t="shared" si="16"/>
        <v>0</v>
      </c>
      <c r="AV106" s="474">
        <f t="shared" si="17"/>
        <v>0</v>
      </c>
      <c r="AW106" s="474">
        <f t="shared" si="18"/>
        <v>0</v>
      </c>
      <c r="AX106" s="474">
        <f t="shared" si="19"/>
        <v>1573.6133572316546</v>
      </c>
      <c r="AY106" s="474">
        <f t="shared" si="20"/>
        <v>157.75521557479439</v>
      </c>
      <c r="AZ106" s="474">
        <f t="shared" si="21"/>
        <v>126.41575988277421</v>
      </c>
      <c r="BA106" s="474">
        <f t="shared" si="22"/>
        <v>153.15575187510333</v>
      </c>
      <c r="BB106" s="474">
        <f t="shared" si="23"/>
        <v>62.701640032769753</v>
      </c>
      <c r="BC106" s="475">
        <f t="shared" si="51"/>
        <v>4234.7319631451001</v>
      </c>
      <c r="BD106" s="647">
        <f t="shared" si="52"/>
        <v>0</v>
      </c>
      <c r="BE106" s="383">
        <f t="shared" si="53"/>
        <v>0.19690110218745824</v>
      </c>
      <c r="BF106" s="383">
        <f t="shared" si="54"/>
        <v>0.24972386653120623</v>
      </c>
      <c r="BG106" s="383">
        <f t="shared" si="55"/>
        <v>6.3700184645464952E-2</v>
      </c>
      <c r="BH106" s="383">
        <f t="shared" si="56"/>
        <v>0</v>
      </c>
      <c r="BI106" s="383">
        <f t="shared" si="57"/>
        <v>0</v>
      </c>
      <c r="BJ106" s="383">
        <f t="shared" si="58"/>
        <v>0</v>
      </c>
      <c r="BK106" s="383">
        <f t="shared" si="59"/>
        <v>0.48967484663587058</v>
      </c>
      <c r="BL106" s="383">
        <f t="shared" si="60"/>
        <v>1</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93.354710398498881</v>
      </c>
      <c r="BW106" s="100">
        <f t="shared" si="63"/>
        <v>0.59732501516725145</v>
      </c>
      <c r="BX106" s="1385">
        <f t="shared" si="24"/>
        <v>47.37256021369511</v>
      </c>
      <c r="BY106" s="473">
        <f t="shared" si="64"/>
        <v>93.354710398498881</v>
      </c>
      <c r="BZ106" s="100">
        <f t="shared" si="65"/>
        <v>0.59732501516725145</v>
      </c>
      <c r="CA106" s="489">
        <f t="shared" si="25"/>
        <v>47.37256021369511</v>
      </c>
      <c r="CB106" s="579">
        <f t="shared" si="26"/>
        <v>0.23044140465623386</v>
      </c>
      <c r="CC106" s="471">
        <f t="shared" si="66"/>
        <v>0.30754375164867309</v>
      </c>
      <c r="CD106" s="100">
        <f t="shared" si="27"/>
        <v>0.23044140465623386</v>
      </c>
      <c r="CE106" s="471">
        <f t="shared" si="67"/>
        <v>0.30754375164867309</v>
      </c>
      <c r="CG106" s="473">
        <f t="shared" si="68"/>
        <v>1591.9683521243355</v>
      </c>
      <c r="CH106" s="474">
        <f t="shared" si="69"/>
        <v>678.19667772096068</v>
      </c>
      <c r="CI106" s="474">
        <f t="shared" si="70"/>
        <v>2637.3523268833728</v>
      </c>
      <c r="CJ106" s="474">
        <f t="shared" si="71"/>
        <v>3445.8978012557582</v>
      </c>
      <c r="CK106" s="474">
        <f t="shared" si="72"/>
        <v>42.942853299797797</v>
      </c>
      <c r="CL106" s="474">
        <f t="shared" si="73"/>
        <v>8396.3580112842246</v>
      </c>
      <c r="CM106" s="576">
        <f t="shared" si="74"/>
        <v>0</v>
      </c>
    </row>
    <row r="107" spans="1:91" s="1" customFormat="1">
      <c r="A107" s="89">
        <f>'Input data'!A127</f>
        <v>2027</v>
      </c>
      <c r="B107" s="152">
        <f>'Input data'!B127</f>
        <v>64.045537563425796</v>
      </c>
      <c r="C107" s="204">
        <f>'Input data'!C127</f>
        <v>4895.4664822406658</v>
      </c>
      <c r="D107" s="204">
        <f>'Input data'!D127</f>
        <v>47544656.205152296</v>
      </c>
      <c r="E107" s="579">
        <f t="shared" si="75"/>
        <v>0.93418461538461572</v>
      </c>
      <c r="F107" s="100">
        <f t="shared" si="76"/>
        <v>0.35144615384615396</v>
      </c>
      <c r="G107" s="475">
        <f>B107*F107*'Input data'!$C$9</f>
        <v>688.92146577149424</v>
      </c>
      <c r="H107" s="301">
        <f>'Input data'!I127</f>
        <v>424.26313389388866</v>
      </c>
      <c r="I107" s="474">
        <f>'Input data'!K127</f>
        <v>27172.160478577796</v>
      </c>
      <c r="J107" s="474">
        <f>J97*(1-$G$5)</f>
        <v>3900.4110186862777</v>
      </c>
      <c r="K107" s="475">
        <f t="shared" si="77"/>
        <v>8726.9932307216241</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223.80189128168513</v>
      </c>
      <c r="R107" s="474">
        <f t="shared" si="34"/>
        <v>156.17591561811867</v>
      </c>
      <c r="S107" s="474">
        <f t="shared" si="35"/>
        <v>457.34775788081879</v>
      </c>
      <c r="T107" s="474">
        <f t="shared" si="36"/>
        <v>307.94934997680866</v>
      </c>
      <c r="U107" s="475">
        <f t="shared" si="37"/>
        <v>0</v>
      </c>
      <c r="V107" s="474">
        <f t="shared" si="38"/>
        <v>1145.2749147574314</v>
      </c>
      <c r="W107" s="579">
        <f>$C$27</f>
        <v>0.5</v>
      </c>
      <c r="X107" s="475">
        <f t="shared" si="39"/>
        <v>3033.4854703020706</v>
      </c>
      <c r="Y107" s="473">
        <f t="shared" si="78"/>
        <v>4178.7603850595024</v>
      </c>
      <c r="Z107" s="474">
        <f t="shared" si="79"/>
        <v>8448.6438643483998</v>
      </c>
      <c r="AA107" s="475">
        <f t="shared" si="80"/>
        <v>4548.2328456621217</v>
      </c>
      <c r="AB107" s="938">
        <f t="shared" si="40"/>
        <v>0.53833880545666757</v>
      </c>
      <c r="AC107" s="118" t="str">
        <f t="shared" si="41"/>
        <v>Yes</v>
      </c>
      <c r="AD107" s="938">
        <f t="shared" si="42"/>
        <v>0.53833880545666757</v>
      </c>
      <c r="AE107" s="579">
        <f t="shared" si="10"/>
        <v>0.24719384179753368</v>
      </c>
      <c r="AF107" s="475">
        <f t="shared" si="43"/>
        <v>319.38789989359691</v>
      </c>
      <c r="AG107" s="474">
        <f t="shared" si="44"/>
        <v>3900.4110186862777</v>
      </c>
      <c r="AH107" s="474">
        <f t="shared" si="81"/>
        <v>8593.5598052314708</v>
      </c>
      <c r="AI107" s="474">
        <f t="shared" si="82"/>
        <v>6437.6604656145792</v>
      </c>
      <c r="AJ107" s="474">
        <f t="shared" si="11"/>
        <v>1523.7384504067129</v>
      </c>
      <c r="AK107" s="474">
        <f t="shared" si="45"/>
        <v>20455.36973993904</v>
      </c>
      <c r="AL107" s="640">
        <f t="shared" si="12"/>
        <v>0</v>
      </c>
      <c r="AM107" s="100">
        <f t="shared" si="46"/>
        <v>0.19067907685240901</v>
      </c>
      <c r="AN107" s="100">
        <f t="shared" si="47"/>
        <v>0.42011266061119268</v>
      </c>
      <c r="AO107" s="100">
        <f t="shared" si="48"/>
        <v>0.31471738460171017</v>
      </c>
      <c r="AP107" s="100">
        <f t="shared" si="49"/>
        <v>7.4490877934688157E-2</v>
      </c>
      <c r="AQ107" s="100">
        <f t="shared" si="50"/>
        <v>1</v>
      </c>
      <c r="AR107" s="473">
        <f t="shared" si="13"/>
        <v>781.77006592112741</v>
      </c>
      <c r="AS107" s="474">
        <f t="shared" si="14"/>
        <v>991.49594101467198</v>
      </c>
      <c r="AT107" s="474">
        <f t="shared" si="15"/>
        <v>240.61446429666105</v>
      </c>
      <c r="AU107" s="474">
        <f t="shared" si="16"/>
        <v>0</v>
      </c>
      <c r="AV107" s="474">
        <f t="shared" si="17"/>
        <v>0</v>
      </c>
      <c r="AW107" s="474">
        <f t="shared" si="18"/>
        <v>0</v>
      </c>
      <c r="AX107" s="474">
        <f t="shared" si="19"/>
        <v>1463.9040372263819</v>
      </c>
      <c r="AY107" s="474">
        <f t="shared" si="20"/>
        <v>139.54678704642032</v>
      </c>
      <c r="AZ107" s="474">
        <f t="shared" si="21"/>
        <v>96.488323147320429</v>
      </c>
      <c r="BA107" s="474">
        <f t="shared" si="22"/>
        <v>128.26119867713939</v>
      </c>
      <c r="BB107" s="474">
        <f t="shared" si="23"/>
        <v>58.33020135655503</v>
      </c>
      <c r="BC107" s="475">
        <f t="shared" si="51"/>
        <v>3900.4110186862777</v>
      </c>
      <c r="BD107" s="647">
        <f t="shared" si="52"/>
        <v>0</v>
      </c>
      <c r="BE107" s="383">
        <f t="shared" si="53"/>
        <v>0.20043273956918531</v>
      </c>
      <c r="BF107" s="383">
        <f t="shared" si="54"/>
        <v>0.25420293816845591</v>
      </c>
      <c r="BG107" s="383">
        <f t="shared" si="55"/>
        <v>6.1689515064928709E-2</v>
      </c>
      <c r="BH107" s="383">
        <f t="shared" si="56"/>
        <v>0</v>
      </c>
      <c r="BI107" s="383">
        <f t="shared" si="57"/>
        <v>0</v>
      </c>
      <c r="BJ107" s="383">
        <f t="shared" si="58"/>
        <v>0</v>
      </c>
      <c r="BK107" s="383">
        <f t="shared" si="59"/>
        <v>0.48367480719743011</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93.853672466654629</v>
      </c>
      <c r="BW107" s="100">
        <f t="shared" si="63"/>
        <v>0.61492556319430869</v>
      </c>
      <c r="BX107" s="1385">
        <f t="shared" si="24"/>
        <v>47.544656205152293</v>
      </c>
      <c r="BY107" s="473">
        <f t="shared" si="64"/>
        <v>93.853672466654629</v>
      </c>
      <c r="BZ107" s="100">
        <f t="shared" si="65"/>
        <v>0.61492556319430869</v>
      </c>
      <c r="CA107" s="489">
        <f t="shared" si="25"/>
        <v>47.544656205152293</v>
      </c>
      <c r="CB107" s="579">
        <f t="shared" si="26"/>
        <v>0.24719384179753368</v>
      </c>
      <c r="CC107" s="471">
        <f t="shared" si="66"/>
        <v>0.31044005724397417</v>
      </c>
      <c r="CD107" s="100">
        <f t="shared" si="27"/>
        <v>0.24719384179753368</v>
      </c>
      <c r="CE107" s="471">
        <f t="shared" si="67"/>
        <v>0.31044005724397417</v>
      </c>
      <c r="CG107" s="473">
        <f t="shared" si="68"/>
        <v>1630.0237748349339</v>
      </c>
      <c r="CH107" s="474">
        <f t="shared" si="69"/>
        <v>700.49209759758685</v>
      </c>
      <c r="CI107" s="474">
        <f t="shared" si="70"/>
        <v>2709.0556551919217</v>
      </c>
      <c r="CJ107" s="474">
        <f t="shared" si="71"/>
        <v>3510.6225897356312</v>
      </c>
      <c r="CK107" s="474">
        <f t="shared" si="72"/>
        <v>43.365687871397228</v>
      </c>
      <c r="CL107" s="474">
        <f t="shared" si="73"/>
        <v>8593.5598052314708</v>
      </c>
      <c r="CM107" s="576">
        <f t="shared" si="74"/>
        <v>0</v>
      </c>
    </row>
    <row r="108" spans="1:91">
      <c r="A108" s="89">
        <f>'Input data'!A128</f>
        <v>2028</v>
      </c>
      <c r="B108" s="152">
        <f>'Input data'!B128</f>
        <v>64.676158618096451</v>
      </c>
      <c r="C108" s="204">
        <f>'Input data'!C128</f>
        <v>5007.2618284439486</v>
      </c>
      <c r="D108" s="204">
        <f>'Input data'!D128</f>
        <v>47264829.111875661</v>
      </c>
      <c r="E108" s="579">
        <f t="shared" si="75"/>
        <v>0.9561230769230773</v>
      </c>
      <c r="F108" s="100">
        <f t="shared" si="76"/>
        <v>0.35763076923076936</v>
      </c>
      <c r="G108" s="475">
        <f>B108*F108*'Input data'!$C$9</f>
        <v>707.94764457850295</v>
      </c>
      <c r="H108" s="301">
        <f>'Input data'!I128</f>
        <v>424.26313389388866</v>
      </c>
      <c r="I108" s="474">
        <f>'Input data'!K128</f>
        <v>27439.709743531836</v>
      </c>
      <c r="J108" s="474">
        <f>($J$112-$J$107)/($A$112-$A$107)+J107</f>
        <v>3566.0900742274539</v>
      </c>
      <c r="K108" s="475">
        <f t="shared" si="77"/>
        <v>9185.6492543829336</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248.60609946091267</v>
      </c>
      <c r="R108" s="474">
        <f t="shared" si="34"/>
        <v>173.48506301356042</v>
      </c>
      <c r="S108" s="474">
        <f t="shared" si="35"/>
        <v>508.03610967182658</v>
      </c>
      <c r="T108" s="474">
        <f t="shared" si="36"/>
        <v>342.07971295872221</v>
      </c>
      <c r="U108" s="475">
        <f t="shared" si="37"/>
        <v>0</v>
      </c>
      <c r="V108" s="474">
        <f t="shared" si="38"/>
        <v>1272.2069851050219</v>
      </c>
      <c r="W108" s="579">
        <f>W107</f>
        <v>0.5</v>
      </c>
      <c r="X108" s="475">
        <f t="shared" si="39"/>
        <v>3033.4854703020706</v>
      </c>
      <c r="Y108" s="473">
        <f t="shared" si="78"/>
        <v>4305.692455407092</v>
      </c>
      <c r="Z108" s="474">
        <f t="shared" si="79"/>
        <v>8446.046873203295</v>
      </c>
      <c r="AA108" s="475">
        <f t="shared" si="80"/>
        <v>4879.9567989758416</v>
      </c>
      <c r="AB108" s="938">
        <f t="shared" si="40"/>
        <v>0.57777998065088187</v>
      </c>
      <c r="AC108" s="118" t="str">
        <f t="shared" si="41"/>
        <v>Yes</v>
      </c>
      <c r="AD108" s="938">
        <f t="shared" si="42"/>
        <v>0.57777998065088187</v>
      </c>
      <c r="AE108" s="579">
        <f t="shared" si="10"/>
        <v>0.26366335378378059</v>
      </c>
      <c r="AF108" s="475">
        <f t="shared" si="43"/>
        <v>312.40049312460883</v>
      </c>
      <c r="AG108" s="474">
        <f t="shared" si="44"/>
        <v>3566.0900742274539</v>
      </c>
      <c r="AH108" s="474">
        <f t="shared" si="81"/>
        <v>8793.8310253748859</v>
      </c>
      <c r="AI108" s="474">
        <f t="shared" si="82"/>
        <v>6437.6604656145792</v>
      </c>
      <c r="AJ108" s="474">
        <f t="shared" si="11"/>
        <v>1407.2822804818311</v>
      </c>
      <c r="AK108" s="474">
        <f t="shared" si="45"/>
        <v>20204.86384569875</v>
      </c>
      <c r="AL108" s="640">
        <f t="shared" si="12"/>
        <v>0</v>
      </c>
      <c r="AM108" s="100">
        <f t="shared" si="46"/>
        <v>0.17649661494683172</v>
      </c>
      <c r="AN108" s="100">
        <f t="shared" si="47"/>
        <v>0.43523337214900032</v>
      </c>
      <c r="AO108" s="100">
        <f t="shared" si="48"/>
        <v>0.31861934407368159</v>
      </c>
      <c r="AP108" s="100">
        <f t="shared" si="49"/>
        <v>6.9650668830486373E-2</v>
      </c>
      <c r="AQ108" s="100">
        <f t="shared" si="50"/>
        <v>1</v>
      </c>
      <c r="AR108" s="473">
        <f t="shared" si="13"/>
        <v>727.5808817642037</v>
      </c>
      <c r="AS108" s="474">
        <f t="shared" si="14"/>
        <v>922.76939534528663</v>
      </c>
      <c r="AT108" s="474">
        <f t="shared" si="15"/>
        <v>212.68239320588384</v>
      </c>
      <c r="AU108" s="474">
        <f t="shared" si="16"/>
        <v>0</v>
      </c>
      <c r="AV108" s="474">
        <f t="shared" si="17"/>
        <v>0</v>
      </c>
      <c r="AW108" s="474">
        <f t="shared" si="18"/>
        <v>0</v>
      </c>
      <c r="AX108" s="474">
        <f t="shared" si="19"/>
        <v>1352.0208874197656</v>
      </c>
      <c r="AY108" s="474">
        <f t="shared" si="20"/>
        <v>122.22252761803277</v>
      </c>
      <c r="AZ108" s="474">
        <f t="shared" si="21"/>
        <v>69.613646514132526</v>
      </c>
      <c r="BA108" s="474">
        <f t="shared" si="22"/>
        <v>105.32819733151315</v>
      </c>
      <c r="BB108" s="474">
        <f t="shared" si="23"/>
        <v>53.872145028634442</v>
      </c>
      <c r="BC108" s="475">
        <f t="shared" si="51"/>
        <v>3566.090074227453</v>
      </c>
      <c r="BD108" s="647">
        <f t="shared" si="52"/>
        <v>0</v>
      </c>
      <c r="BE108" s="383">
        <f t="shared" si="53"/>
        <v>0.20402762314460737</v>
      </c>
      <c r="BF108" s="383">
        <f t="shared" si="54"/>
        <v>0.25876222308972174</v>
      </c>
      <c r="BG108" s="383">
        <f t="shared" si="55"/>
        <v>5.9640219057551069E-2</v>
      </c>
      <c r="BH108" s="383">
        <f t="shared" si="56"/>
        <v>0</v>
      </c>
      <c r="BI108" s="383">
        <f t="shared" si="57"/>
        <v>0</v>
      </c>
      <c r="BJ108" s="383">
        <f t="shared" si="58"/>
        <v>0</v>
      </c>
      <c r="BK108" s="383">
        <f t="shared" si="59"/>
        <v>0.4775699347081197</v>
      </c>
      <c r="BL108" s="383">
        <f t="shared" si="60"/>
        <v>0.99999999999999989</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93.896575258065937</v>
      </c>
      <c r="BW108" s="100">
        <f t="shared" si="63"/>
        <v>0.63378805685965334</v>
      </c>
      <c r="BX108" s="1385">
        <f t="shared" si="24"/>
        <v>47.264829111875663</v>
      </c>
      <c r="BY108" s="473">
        <f t="shared" si="64"/>
        <v>93.896575258065937</v>
      </c>
      <c r="BZ108" s="100">
        <f t="shared" si="65"/>
        <v>0.63378805685965334</v>
      </c>
      <c r="CA108" s="489">
        <f t="shared" si="25"/>
        <v>47.264829111875663</v>
      </c>
      <c r="CB108" s="579">
        <f t="shared" si="26"/>
        <v>0.26366335378378059</v>
      </c>
      <c r="CC108" s="471">
        <f t="shared" si="66"/>
        <v>0.31454304981852543</v>
      </c>
      <c r="CD108" s="100">
        <f t="shared" si="27"/>
        <v>0.26366335378378059</v>
      </c>
      <c r="CE108" s="471">
        <f t="shared" si="67"/>
        <v>0.31454304981852543</v>
      </c>
      <c r="CG108" s="473">
        <f t="shared" si="68"/>
        <v>1668.6742736543031</v>
      </c>
      <c r="CH108" s="474">
        <f t="shared" si="69"/>
        <v>723.16082596952128</v>
      </c>
      <c r="CI108" s="474">
        <f t="shared" si="70"/>
        <v>2781.9153316846123</v>
      </c>
      <c r="CJ108" s="474">
        <f t="shared" si="71"/>
        <v>3576.2879082048339</v>
      </c>
      <c r="CK108" s="474">
        <f t="shared" si="72"/>
        <v>43.792685861614679</v>
      </c>
      <c r="CL108" s="474">
        <f t="shared" si="73"/>
        <v>8793.8310253748841</v>
      </c>
      <c r="CM108" s="576">
        <f t="shared" si="74"/>
        <v>0</v>
      </c>
    </row>
    <row r="109" spans="1:91">
      <c r="A109" s="89">
        <f>'Input data'!A129</f>
        <v>2029</v>
      </c>
      <c r="B109" s="152">
        <f>'Input data'!B129</f>
        <v>65.31298905018393</v>
      </c>
      <c r="C109" s="204">
        <f>'Input data'!C129</f>
        <v>5127.4326756514902</v>
      </c>
      <c r="D109" s="204">
        <f>'Input data'!D129</f>
        <v>45911028.865820996</v>
      </c>
      <c r="E109" s="579">
        <f t="shared" si="75"/>
        <v>0.97806153846153887</v>
      </c>
      <c r="F109" s="100">
        <f t="shared" si="76"/>
        <v>0.36381538461538476</v>
      </c>
      <c r="G109" s="475">
        <f>B109*F109*'Input data'!$C$9</f>
        <v>727.28171126107532</v>
      </c>
      <c r="H109" s="301">
        <f>'Input data'!I129</f>
        <v>424.26313389388866</v>
      </c>
      <c r="I109" s="474">
        <f>'Input data'!K129</f>
        <v>27709.893418408268</v>
      </c>
      <c r="J109" s="474">
        <f t="shared" ref="J109:J111" si="86">($J$112-$J$107)/($A$112-$A$107)+J108</f>
        <v>3231.7691297686301</v>
      </c>
      <c r="K109" s="475">
        <f t="shared" si="77"/>
        <v>9645.5295369350624</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273.87707617034994</v>
      </c>
      <c r="R109" s="474">
        <f t="shared" si="34"/>
        <v>191.11993599679636</v>
      </c>
      <c r="S109" s="474">
        <f t="shared" si="35"/>
        <v>559.67832087625584</v>
      </c>
      <c r="T109" s="474">
        <f t="shared" si="36"/>
        <v>376.85234515759566</v>
      </c>
      <c r="U109" s="475">
        <f t="shared" si="37"/>
        <v>0</v>
      </c>
      <c r="V109" s="474">
        <f t="shared" si="38"/>
        <v>1401.5276782009978</v>
      </c>
      <c r="W109" s="579">
        <f t="shared" ref="W109:W130" si="87">W108</f>
        <v>0.5</v>
      </c>
      <c r="X109" s="475">
        <f t="shared" si="39"/>
        <v>3033.4854703020706</v>
      </c>
      <c r="Y109" s="473">
        <f t="shared" si="78"/>
        <v>4435.0131485030688</v>
      </c>
      <c r="Z109" s="474">
        <f t="shared" si="79"/>
        <v>8442.2855182006242</v>
      </c>
      <c r="AA109" s="475">
        <f t="shared" si="80"/>
        <v>5210.5163884319936</v>
      </c>
      <c r="AB109" s="938">
        <f t="shared" si="40"/>
        <v>0.61719262837044575</v>
      </c>
      <c r="AC109" s="118" t="str">
        <f t="shared" si="41"/>
        <v>Yes</v>
      </c>
      <c r="AD109" s="938">
        <f t="shared" si="42"/>
        <v>0.61719262837044575</v>
      </c>
      <c r="AE109" s="579">
        <f t="shared" si="10"/>
        <v>0.27985563375052358</v>
      </c>
      <c r="AF109" s="475">
        <f t="shared" si="43"/>
        <v>305.53070568103118</v>
      </c>
      <c r="AG109" s="474">
        <f t="shared" si="44"/>
        <v>3231.7691297686301</v>
      </c>
      <c r="AH109" s="474">
        <f t="shared" si="81"/>
        <v>8997.2129983908544</v>
      </c>
      <c r="AI109" s="474">
        <f t="shared" si="82"/>
        <v>6437.6604656145792</v>
      </c>
      <c r="AJ109" s="474">
        <f t="shared" si="11"/>
        <v>1288.4810408660949</v>
      </c>
      <c r="AK109" s="474">
        <f t="shared" si="45"/>
        <v>19955.12363464016</v>
      </c>
      <c r="AL109" s="640">
        <f t="shared" si="12"/>
        <v>0</v>
      </c>
      <c r="AM109" s="100">
        <f t="shared" si="46"/>
        <v>0.161951847001268</v>
      </c>
      <c r="AN109" s="100">
        <f t="shared" si="47"/>
        <v>0.45087232547998674</v>
      </c>
      <c r="AO109" s="100">
        <f t="shared" si="48"/>
        <v>0.32260689452404218</v>
      </c>
      <c r="AP109" s="100">
        <f t="shared" si="49"/>
        <v>6.456893299470301E-2</v>
      </c>
      <c r="AQ109" s="100">
        <f t="shared" si="50"/>
        <v>1</v>
      </c>
      <c r="AR109" s="473">
        <f t="shared" si="13"/>
        <v>671.20018188498921</v>
      </c>
      <c r="AS109" s="474">
        <f t="shared" si="14"/>
        <v>851.26341485479361</v>
      </c>
      <c r="AT109" s="474">
        <f t="shared" si="15"/>
        <v>185.99112990290195</v>
      </c>
      <c r="AU109" s="474">
        <f t="shared" si="16"/>
        <v>0</v>
      </c>
      <c r="AV109" s="474">
        <f t="shared" si="17"/>
        <v>0</v>
      </c>
      <c r="AW109" s="474">
        <f t="shared" si="18"/>
        <v>0</v>
      </c>
      <c r="AX109" s="474">
        <f t="shared" si="19"/>
        <v>1237.8847545063022</v>
      </c>
      <c r="AY109" s="474">
        <f t="shared" si="20"/>
        <v>105.80779139698581</v>
      </c>
      <c r="AZ109" s="474">
        <f t="shared" si="21"/>
        <v>45.882855936635217</v>
      </c>
      <c r="BA109" s="474">
        <f t="shared" si="22"/>
        <v>84.414684151566917</v>
      </c>
      <c r="BB109" s="474">
        <f t="shared" si="23"/>
        <v>49.324317134454468</v>
      </c>
      <c r="BC109" s="475">
        <f t="shared" si="51"/>
        <v>3231.7691297686292</v>
      </c>
      <c r="BD109" s="647">
        <f t="shared" si="52"/>
        <v>0</v>
      </c>
      <c r="BE109" s="383">
        <f t="shared" si="53"/>
        <v>0.20768815931261841</v>
      </c>
      <c r="BF109" s="383">
        <f t="shared" si="54"/>
        <v>0.26340477325982065</v>
      </c>
      <c r="BG109" s="383">
        <f t="shared" si="55"/>
        <v>5.7550871499356622E-2</v>
      </c>
      <c r="BH109" s="383">
        <f t="shared" si="56"/>
        <v>0</v>
      </c>
      <c r="BI109" s="383">
        <f t="shared" si="57"/>
        <v>0</v>
      </c>
      <c r="BJ109" s="383">
        <f t="shared" si="58"/>
        <v>0</v>
      </c>
      <c r="BK109" s="383">
        <f t="shared" si="59"/>
        <v>0.47135619592820438</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92.909216346454784</v>
      </c>
      <c r="BW109" s="100">
        <f t="shared" si="63"/>
        <v>0.65586115488388763</v>
      </c>
      <c r="BX109" s="1385">
        <f t="shared" si="24"/>
        <v>45.911028865820995</v>
      </c>
      <c r="BY109" s="473">
        <f t="shared" si="64"/>
        <v>92.909216346454784</v>
      </c>
      <c r="BZ109" s="100">
        <f t="shared" si="65"/>
        <v>0.65586115488388763</v>
      </c>
      <c r="CA109" s="489">
        <f t="shared" si="25"/>
        <v>45.911028865820995</v>
      </c>
      <c r="CB109" s="579">
        <f t="shared" si="26"/>
        <v>0.27985563375052358</v>
      </c>
      <c r="CC109" s="471">
        <f t="shared" si="66"/>
        <v>0.32198423880985849</v>
      </c>
      <c r="CD109" s="100">
        <f t="shared" si="27"/>
        <v>0.27985563375052358</v>
      </c>
      <c r="CE109" s="471">
        <f t="shared" si="67"/>
        <v>0.32198423880985849</v>
      </c>
      <c r="CG109" s="473">
        <f t="shared" si="68"/>
        <v>1707.9278777845379</v>
      </c>
      <c r="CH109" s="474">
        <f t="shared" si="69"/>
        <v>746.2080527645885</v>
      </c>
      <c r="CI109" s="474">
        <f t="shared" si="70"/>
        <v>2855.9471763862912</v>
      </c>
      <c r="CJ109" s="474">
        <f t="shared" si="71"/>
        <v>3642.9060031901004</v>
      </c>
      <c r="CK109" s="474">
        <f t="shared" si="72"/>
        <v>44.223888265335049</v>
      </c>
      <c r="CL109" s="474">
        <f t="shared" si="73"/>
        <v>8997.2129983908526</v>
      </c>
      <c r="CM109" s="576">
        <f t="shared" si="74"/>
        <v>0</v>
      </c>
    </row>
    <row r="110" spans="1:91" s="1" customFormat="1">
      <c r="A110" s="89">
        <f>'Input data'!A130</f>
        <v>2030</v>
      </c>
      <c r="B110" s="152">
        <f>'Input data'!B130</f>
        <v>65.956090000000003</v>
      </c>
      <c r="C110" s="204">
        <f>'Input data'!C130</f>
        <v>5247.6087278453806</v>
      </c>
      <c r="D110" s="204">
        <f>'Input data'!D130</f>
        <v>43025080.542663962</v>
      </c>
      <c r="E110" s="579">
        <f>C53</f>
        <v>1</v>
      </c>
      <c r="F110" s="100">
        <f>D53</f>
        <v>0.37</v>
      </c>
      <c r="G110" s="475">
        <f>B110*F110*'Input data'!$C$9</f>
        <v>746.92788438679418</v>
      </c>
      <c r="H110" s="301">
        <f>'Input data'!I130</f>
        <v>424.26313389388866</v>
      </c>
      <c r="I110" s="474">
        <f>'Input data'!K130</f>
        <v>27982.737442787373</v>
      </c>
      <c r="J110" s="474">
        <f t="shared" si="86"/>
        <v>2897.4481853098064</v>
      </c>
      <c r="K110" s="475">
        <f t="shared" si="77"/>
        <v>10106.646132979506</v>
      </c>
      <c r="L110" s="100">
        <f>C19</f>
        <v>0.7</v>
      </c>
      <c r="M110" s="100">
        <f>D19</f>
        <v>0.6</v>
      </c>
      <c r="N110" s="100">
        <f>E19</f>
        <v>0.9</v>
      </c>
      <c r="O110" s="100">
        <f>F19</f>
        <v>0.9</v>
      </c>
      <c r="P110" s="100">
        <f>G19</f>
        <v>0.23600000000000002</v>
      </c>
      <c r="Q110" s="473">
        <f t="shared" si="33"/>
        <v>299.62160860317135</v>
      </c>
      <c r="R110" s="474">
        <f t="shared" si="34"/>
        <v>209.08527088217454</v>
      </c>
      <c r="S110" s="474">
        <f t="shared" si="35"/>
        <v>612.28826138396289</v>
      </c>
      <c r="T110" s="474">
        <f t="shared" si="36"/>
        <v>412.27658568899597</v>
      </c>
      <c r="U110" s="475">
        <f t="shared" si="37"/>
        <v>0</v>
      </c>
      <c r="V110" s="474">
        <f t="shared" si="38"/>
        <v>1533.2717265583046</v>
      </c>
      <c r="W110" s="579">
        <f t="shared" si="87"/>
        <v>0.5</v>
      </c>
      <c r="X110" s="475">
        <f t="shared" si="39"/>
        <v>3033.4854703020706</v>
      </c>
      <c r="Y110" s="473">
        <f t="shared" si="78"/>
        <v>4566.7571968603752</v>
      </c>
      <c r="Z110" s="474">
        <f t="shared" si="79"/>
        <v>8437.3371214289364</v>
      </c>
      <c r="AA110" s="475">
        <f t="shared" si="80"/>
        <v>5539.8889361191304</v>
      </c>
      <c r="AB110" s="938">
        <f t="shared" si="40"/>
        <v>0.65659210440330285</v>
      </c>
      <c r="AC110" s="118" t="str">
        <f t="shared" si="41"/>
        <v>Yes</v>
      </c>
      <c r="AD110" s="938">
        <f t="shared" si="42"/>
        <v>0.65659210440330285</v>
      </c>
      <c r="AE110" s="579">
        <f t="shared" si="10"/>
        <v>0.29577637461695849</v>
      </c>
      <c r="AF110" s="475">
        <f t="shared" si="43"/>
        <v>298.77612226712506</v>
      </c>
      <c r="AG110" s="474">
        <f t="shared" si="44"/>
        <v>2897.4481853098064</v>
      </c>
      <c r="AH110" s="474">
        <f t="shared" si="81"/>
        <v>9203.7475672090277</v>
      </c>
      <c r="AI110" s="474">
        <f t="shared" si="82"/>
        <v>6437.6604656145792</v>
      </c>
      <c r="AJ110" s="474">
        <f t="shared" si="11"/>
        <v>1167.2485919680901</v>
      </c>
      <c r="AK110" s="474">
        <f t="shared" si="45"/>
        <v>19706.104810101504</v>
      </c>
      <c r="AL110" s="640">
        <f t="shared" si="12"/>
        <v>0</v>
      </c>
      <c r="AM110" s="100">
        <f t="shared" si="46"/>
        <v>0.1470330241938301</v>
      </c>
      <c r="AN110" s="100">
        <f t="shared" si="47"/>
        <v>0.46705057422058949</v>
      </c>
      <c r="AO110" s="100">
        <f t="shared" si="48"/>
        <v>0.32668355962029511</v>
      </c>
      <c r="AP110" s="100">
        <f t="shared" si="49"/>
        <v>5.9232841965285256E-2</v>
      </c>
      <c r="AQ110" s="100">
        <f t="shared" si="50"/>
        <v>1</v>
      </c>
      <c r="AR110" s="473">
        <f t="shared" si="13"/>
        <v>612.56940461047054</v>
      </c>
      <c r="AS110" s="474">
        <f t="shared" si="14"/>
        <v>776.90372749873484</v>
      </c>
      <c r="AT110" s="474">
        <f t="shared" si="15"/>
        <v>160.57652818153852</v>
      </c>
      <c r="AU110" s="474">
        <f t="shared" si="16"/>
        <v>0</v>
      </c>
      <c r="AV110" s="474">
        <f t="shared" si="17"/>
        <v>0</v>
      </c>
      <c r="AW110" s="474">
        <f t="shared" si="18"/>
        <v>0</v>
      </c>
      <c r="AX110" s="474">
        <f t="shared" si="19"/>
        <v>1121.4128814382834</v>
      </c>
      <c r="AY110" s="474">
        <f t="shared" si="20"/>
        <v>90.329201598007003</v>
      </c>
      <c r="AZ110" s="474">
        <f t="shared" si="21"/>
        <v>25.391562301128037</v>
      </c>
      <c r="BA110" s="474">
        <f t="shared" si="22"/>
        <v>65.581459515614853</v>
      </c>
      <c r="BB110" s="474">
        <f t="shared" si="23"/>
        <v>44.683420166026991</v>
      </c>
      <c r="BC110" s="475">
        <f t="shared" si="51"/>
        <v>2897.4481853098041</v>
      </c>
      <c r="BD110" s="647">
        <f t="shared" si="52"/>
        <v>0</v>
      </c>
      <c r="BE110" s="383">
        <f t="shared" si="53"/>
        <v>0.21141686250550593</v>
      </c>
      <c r="BF110" s="383">
        <f t="shared" si="54"/>
        <v>0.26813377765913904</v>
      </c>
      <c r="BG110" s="383">
        <f t="shared" si="55"/>
        <v>5.541998265772928E-2</v>
      </c>
      <c r="BH110" s="383">
        <f t="shared" si="56"/>
        <v>0</v>
      </c>
      <c r="BI110" s="383">
        <f t="shared" si="57"/>
        <v>0</v>
      </c>
      <c r="BJ110" s="383">
        <f t="shared" si="58"/>
        <v>0</v>
      </c>
      <c r="BK110" s="383">
        <f t="shared" si="59"/>
        <v>0.46502937717762582</v>
      </c>
      <c r="BL110" s="383">
        <f t="shared" si="60"/>
        <v>1</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90.390457433068079</v>
      </c>
      <c r="BW110" s="100">
        <f t="shared" si="63"/>
        <v>0.68235035725790982</v>
      </c>
      <c r="BX110" s="1385">
        <f t="shared" si="24"/>
        <v>43.025080542663964</v>
      </c>
      <c r="BY110" s="473">
        <f t="shared" si="64"/>
        <v>90.390457433068079</v>
      </c>
      <c r="BZ110" s="100">
        <f t="shared" si="65"/>
        <v>0.68235035725790982</v>
      </c>
      <c r="CA110" s="489">
        <f t="shared" si="25"/>
        <v>43.025080542663964</v>
      </c>
      <c r="CB110" s="579">
        <f t="shared" si="26"/>
        <v>0.29577637461695849</v>
      </c>
      <c r="CC110" s="471">
        <f t="shared" si="66"/>
        <v>0.33416712207572952</v>
      </c>
      <c r="CD110" s="100">
        <f t="shared" si="27"/>
        <v>0.29577637461695849</v>
      </c>
      <c r="CE110" s="471">
        <f t="shared" si="67"/>
        <v>0.33416712207572952</v>
      </c>
      <c r="CG110" s="473">
        <f t="shared" si="68"/>
        <v>1747.7927168518324</v>
      </c>
      <c r="CH110" s="474">
        <f t="shared" si="69"/>
        <v>769.63903392211466</v>
      </c>
      <c r="CI110" s="474">
        <f t="shared" si="70"/>
        <v>2931.1672087530142</v>
      </c>
      <c r="CJ110" s="474">
        <f t="shared" si="71"/>
        <v>3710.4892712009678</v>
      </c>
      <c r="CK110" s="474">
        <f t="shared" si="72"/>
        <v>44.65933648109722</v>
      </c>
      <c r="CL110" s="474">
        <f t="shared" si="73"/>
        <v>9203.7475672090259</v>
      </c>
      <c r="CM110" s="576">
        <f t="shared" si="74"/>
        <v>0</v>
      </c>
    </row>
    <row r="111" spans="1:91">
      <c r="A111" s="89">
        <f>'Input data'!A131</f>
        <v>2031</v>
      </c>
      <c r="B111" s="152">
        <f>'Input data'!B131</f>
        <v>66.518977190687664</v>
      </c>
      <c r="C111" s="204">
        <f>'Input data'!C131</f>
        <v>5388.2194214943684</v>
      </c>
      <c r="D111" s="204">
        <f>'Input data'!D131</f>
        <v>41478479.110071354</v>
      </c>
      <c r="E111" s="579">
        <f>E110</f>
        <v>1</v>
      </c>
      <c r="F111" s="100">
        <f>F110</f>
        <v>0.37</v>
      </c>
      <c r="G111" s="475">
        <f>B111*F111*'Input data'!$C$9</f>
        <v>753.30236987386229</v>
      </c>
      <c r="H111" s="301">
        <f>'Input data'!I131</f>
        <v>424.26313389388866</v>
      </c>
      <c r="I111" s="474">
        <f>'Input data'!K131</f>
        <v>28221.549726337245</v>
      </c>
      <c r="J111" s="474">
        <f t="shared" si="86"/>
        <v>2563.1272408509826</v>
      </c>
      <c r="K111" s="475">
        <f t="shared" si="77"/>
        <v>10551.947551239295</v>
      </c>
      <c r="L111" s="100">
        <f>L110</f>
        <v>0.7</v>
      </c>
      <c r="M111" s="100">
        <f t="shared" ref="M111:P126" si="88">M110</f>
        <v>0.6</v>
      </c>
      <c r="N111" s="100">
        <f t="shared" si="88"/>
        <v>0.9</v>
      </c>
      <c r="O111" s="100">
        <f t="shared" si="88"/>
        <v>0.9</v>
      </c>
      <c r="P111" s="100">
        <f t="shared" si="88"/>
        <v>0.23600000000000002</v>
      </c>
      <c r="Q111" s="473">
        <f t="shared" si="33"/>
        <v>302.1786608107227</v>
      </c>
      <c r="R111" s="474">
        <f t="shared" si="34"/>
        <v>210.86966138714581</v>
      </c>
      <c r="S111" s="474">
        <f t="shared" si="35"/>
        <v>617.51369575009085</v>
      </c>
      <c r="T111" s="474">
        <f t="shared" si="36"/>
        <v>415.79506607655048</v>
      </c>
      <c r="U111" s="475">
        <f t="shared" si="37"/>
        <v>0</v>
      </c>
      <c r="V111" s="474">
        <f t="shared" si="38"/>
        <v>1546.3570840245097</v>
      </c>
      <c r="W111" s="579">
        <f t="shared" si="87"/>
        <v>0.5</v>
      </c>
      <c r="X111" s="475">
        <f t="shared" si="39"/>
        <v>3033.4854703020706</v>
      </c>
      <c r="Y111" s="473">
        <f t="shared" si="78"/>
        <v>4579.8425543265803</v>
      </c>
      <c r="Z111" s="474">
        <f t="shared" si="79"/>
        <v>8535.2322377636974</v>
      </c>
      <c r="AA111" s="475">
        <f t="shared" si="80"/>
        <v>5972.1049969127143</v>
      </c>
      <c r="AB111" s="938">
        <f t="shared" si="40"/>
        <v>0.69970035150179533</v>
      </c>
      <c r="AC111" s="118" t="str">
        <f t="shared" si="41"/>
        <v>Yes</v>
      </c>
      <c r="AD111" s="938">
        <f t="shared" si="42"/>
        <v>0.69970035150179533</v>
      </c>
      <c r="AE111" s="579">
        <f t="shared" si="10"/>
        <v>0.31568192095747505</v>
      </c>
      <c r="AF111" s="475">
        <f t="shared" si="43"/>
        <v>290.33093279482745</v>
      </c>
      <c r="AG111" s="474">
        <f t="shared" si="44"/>
        <v>2563.1272408509826</v>
      </c>
      <c r="AH111" s="474">
        <f t="shared" si="81"/>
        <v>9282.2948493766726</v>
      </c>
      <c r="AI111" s="474">
        <f t="shared" si="82"/>
        <v>6437.6604656145792</v>
      </c>
      <c r="AJ111" s="474">
        <f t="shared" si="11"/>
        <v>1029.4341404879635</v>
      </c>
      <c r="AK111" s="474">
        <f t="shared" si="45"/>
        <v>19312.5166963302</v>
      </c>
      <c r="AL111" s="640">
        <f t="shared" si="12"/>
        <v>0</v>
      </c>
      <c r="AM111" s="100">
        <f t="shared" si="46"/>
        <v>0.1327184478933309</v>
      </c>
      <c r="AN111" s="100">
        <f t="shared" si="47"/>
        <v>0.48063621097816378</v>
      </c>
      <c r="AO111" s="100">
        <f t="shared" si="48"/>
        <v>0.33334135404723692</v>
      </c>
      <c r="AP111" s="100">
        <f t="shared" si="49"/>
        <v>5.3303987081268309E-2</v>
      </c>
      <c r="AQ111" s="100">
        <f t="shared" si="50"/>
        <v>0.99999999999999989</v>
      </c>
      <c r="AR111" s="473">
        <f t="shared" si="13"/>
        <v>543.67212223260026</v>
      </c>
      <c r="AS111" s="474">
        <f t="shared" si="14"/>
        <v>689.52333420609659</v>
      </c>
      <c r="AT111" s="474">
        <f t="shared" si="15"/>
        <v>141.61761377016282</v>
      </c>
      <c r="AU111" s="474">
        <f t="shared" si="16"/>
        <v>0</v>
      </c>
      <c r="AV111" s="474">
        <f t="shared" si="17"/>
        <v>0</v>
      </c>
      <c r="AW111" s="474">
        <f t="shared" si="18"/>
        <v>0</v>
      </c>
      <c r="AX111" s="474">
        <f t="shared" si="19"/>
        <v>989.01015060475595</v>
      </c>
      <c r="AY111" s="474">
        <f t="shared" si="20"/>
        <v>79.664233178659885</v>
      </c>
      <c r="AZ111" s="474">
        <f t="shared" si="21"/>
        <v>22.393636876473515</v>
      </c>
      <c r="BA111" s="474">
        <f t="shared" si="22"/>
        <v>57.83840209613961</v>
      </c>
      <c r="BB111" s="474">
        <f t="shared" si="23"/>
        <v>39.407747886093858</v>
      </c>
      <c r="BC111" s="475">
        <f t="shared" si="51"/>
        <v>2563.1272408509826</v>
      </c>
      <c r="BD111" s="647">
        <f t="shared" si="52"/>
        <v>0</v>
      </c>
      <c r="BE111" s="383">
        <f t="shared" si="53"/>
        <v>0.21211281030749607</v>
      </c>
      <c r="BF111" s="383">
        <f t="shared" si="54"/>
        <v>0.26901642775142459</v>
      </c>
      <c r="BG111" s="383">
        <f t="shared" si="55"/>
        <v>5.525188586546504E-2</v>
      </c>
      <c r="BH111" s="383">
        <f t="shared" si="56"/>
        <v>0</v>
      </c>
      <c r="BI111" s="383">
        <f t="shared" si="57"/>
        <v>0</v>
      </c>
      <c r="BJ111" s="383">
        <f t="shared" si="58"/>
        <v>0</v>
      </c>
      <c r="BK111" s="383">
        <f t="shared" si="59"/>
        <v>0.46361887607561419</v>
      </c>
      <c r="BL111" s="383">
        <f t="shared" si="60"/>
        <v>1</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89.171255684827301</v>
      </c>
      <c r="BW111" s="100">
        <f t="shared" si="63"/>
        <v>0.69216296780752284</v>
      </c>
      <c r="BX111" s="1385">
        <f t="shared" si="24"/>
        <v>41.478479110071355</v>
      </c>
      <c r="BY111" s="473">
        <f t="shared" si="64"/>
        <v>89.171255684827301</v>
      </c>
      <c r="BZ111" s="100">
        <f t="shared" si="65"/>
        <v>0.69216296780752284</v>
      </c>
      <c r="CA111" s="489">
        <f t="shared" si="25"/>
        <v>41.478479110071355</v>
      </c>
      <c r="CB111" s="579">
        <f t="shared" si="26"/>
        <v>0.31568192095747505</v>
      </c>
      <c r="CC111" s="471">
        <f t="shared" si="66"/>
        <v>0.34284240625384033</v>
      </c>
      <c r="CD111" s="100">
        <f t="shared" si="27"/>
        <v>0.31568192095747505</v>
      </c>
      <c r="CE111" s="471">
        <f t="shared" si="67"/>
        <v>0.34284240625384033</v>
      </c>
      <c r="CG111" s="473">
        <f t="shared" si="68"/>
        <v>1762.7088547292153</v>
      </c>
      <c r="CH111" s="474">
        <f t="shared" si="69"/>
        <v>776.20734252937109</v>
      </c>
      <c r="CI111" s="474">
        <f t="shared" si="70"/>
        <v>2956.1825860376707</v>
      </c>
      <c r="CJ111" s="474">
        <f t="shared" si="71"/>
        <v>3742.1555946889584</v>
      </c>
      <c r="CK111" s="474">
        <f t="shared" si="72"/>
        <v>45.040471391456826</v>
      </c>
      <c r="CL111" s="474">
        <f t="shared" si="73"/>
        <v>9282.2948493766726</v>
      </c>
      <c r="CM111" s="576">
        <f t="shared" si="74"/>
        <v>0</v>
      </c>
    </row>
    <row r="112" spans="1:91">
      <c r="A112" s="89">
        <f>'Input data'!A132</f>
        <v>2032</v>
      </c>
      <c r="B112" s="152">
        <f>'Input data'!B132</f>
        <v>67.08666821358311</v>
      </c>
      <c r="C112" s="204">
        <f>'Input data'!C132</f>
        <v>5536.7385220125598</v>
      </c>
      <c r="D112" s="204">
        <f>'Input data'!D132</f>
        <v>41255345.957373768</v>
      </c>
      <c r="E112" s="579">
        <f t="shared" ref="E112:F127" si="89">E111</f>
        <v>1</v>
      </c>
      <c r="F112" s="100">
        <f t="shared" si="89"/>
        <v>0.37</v>
      </c>
      <c r="G112" s="475">
        <f>B112*F112*'Input data'!$C$9</f>
        <v>759.73125695186627</v>
      </c>
      <c r="H112" s="301">
        <f>'Input data'!I132</f>
        <v>424.26313389388866</v>
      </c>
      <c r="I112" s="474">
        <f>'Input data'!K132</f>
        <v>28462.400098794296</v>
      </c>
      <c r="J112" s="474">
        <f>J97*(1-$G$6)</f>
        <v>2228.8062963921584</v>
      </c>
      <c r="K112" s="475">
        <f t="shared" si="77"/>
        <v>10998.19610701314</v>
      </c>
      <c r="L112" s="100">
        <f>C20</f>
        <v>0.7</v>
      </c>
      <c r="M112" s="100">
        <f>D20</f>
        <v>0.6</v>
      </c>
      <c r="N112" s="100">
        <f t="shared" si="88"/>
        <v>0.9</v>
      </c>
      <c r="O112" s="100">
        <f t="shared" si="88"/>
        <v>0.9</v>
      </c>
      <c r="P112" s="100">
        <f t="shared" si="88"/>
        <v>0.23600000000000002</v>
      </c>
      <c r="Q112" s="473">
        <f t="shared" si="33"/>
        <v>304.75753559650093</v>
      </c>
      <c r="R112" s="474">
        <f t="shared" si="34"/>
        <v>212.66928036546119</v>
      </c>
      <c r="S112" s="474">
        <f t="shared" si="35"/>
        <v>622.7837253927205</v>
      </c>
      <c r="T112" s="474">
        <f t="shared" si="36"/>
        <v>419.34357413161615</v>
      </c>
      <c r="U112" s="475">
        <f t="shared" si="37"/>
        <v>0</v>
      </c>
      <c r="V112" s="474">
        <f t="shared" si="38"/>
        <v>1559.5541154862988</v>
      </c>
      <c r="W112" s="579">
        <f t="shared" si="87"/>
        <v>0.5</v>
      </c>
      <c r="X112" s="475">
        <f t="shared" si="39"/>
        <v>3033.4854703020706</v>
      </c>
      <c r="Y112" s="473">
        <f t="shared" si="78"/>
        <v>4593.0395857883695</v>
      </c>
      <c r="Z112" s="474">
        <f t="shared" si="79"/>
        <v>8633.9628176169281</v>
      </c>
      <c r="AA112" s="475">
        <f t="shared" si="80"/>
        <v>6405.1565212247697</v>
      </c>
      <c r="AB112" s="938">
        <f t="shared" si="40"/>
        <v>0.74185593064583821</v>
      </c>
      <c r="AC112" s="118" t="str">
        <f t="shared" si="41"/>
        <v>Yes</v>
      </c>
      <c r="AD112" s="938">
        <f t="shared" si="42"/>
        <v>0.74185593064583821</v>
      </c>
      <c r="AE112" s="579">
        <f t="shared" si="10"/>
        <v>0.33524737223917422</v>
      </c>
      <c r="AF112" s="475">
        <f t="shared" si="43"/>
        <v>282.03003311800558</v>
      </c>
      <c r="AG112" s="474">
        <f t="shared" si="44"/>
        <v>2228.8062963921584</v>
      </c>
      <c r="AH112" s="474">
        <f t="shared" si="81"/>
        <v>9361.5124753896816</v>
      </c>
      <c r="AI112" s="474">
        <f t="shared" si="82"/>
        <v>6437.6604656145792</v>
      </c>
      <c r="AJ112" s="474">
        <f t="shared" si="11"/>
        <v>892.47602065707667</v>
      </c>
      <c r="AK112" s="474">
        <f t="shared" si="45"/>
        <v>18920.455258053495</v>
      </c>
      <c r="AL112" s="640">
        <f t="shared" si="12"/>
        <v>0</v>
      </c>
      <c r="AM112" s="100">
        <f t="shared" si="46"/>
        <v>0.117798766784085</v>
      </c>
      <c r="AN112" s="100">
        <f t="shared" si="47"/>
        <v>0.49478262270697487</v>
      </c>
      <c r="AO112" s="100">
        <f t="shared" si="48"/>
        <v>0.34024870849100675</v>
      </c>
      <c r="AP112" s="100">
        <f t="shared" si="49"/>
        <v>4.7169902017933425E-2</v>
      </c>
      <c r="AQ112" s="100">
        <f t="shared" si="50"/>
        <v>1</v>
      </c>
      <c r="AR112" s="473">
        <f t="shared" si="13"/>
        <v>474.28711157023099</v>
      </c>
      <c r="AS112" s="474">
        <f t="shared" si="14"/>
        <v>601.52436950035451</v>
      </c>
      <c r="AT112" s="474">
        <f t="shared" si="15"/>
        <v>122.77650353876473</v>
      </c>
      <c r="AU112" s="474">
        <f t="shared" si="16"/>
        <v>0</v>
      </c>
      <c r="AV112" s="474">
        <f t="shared" si="17"/>
        <v>0</v>
      </c>
      <c r="AW112" s="474">
        <f t="shared" si="18"/>
        <v>0</v>
      </c>
      <c r="AX112" s="474">
        <f t="shared" si="19"/>
        <v>857.43012484780604</v>
      </c>
      <c r="AY112" s="474">
        <f t="shared" si="20"/>
        <v>69.065533208648347</v>
      </c>
      <c r="AZ112" s="474">
        <f t="shared" si="21"/>
        <v>19.414339530337624</v>
      </c>
      <c r="BA112" s="474">
        <f t="shared" si="22"/>
        <v>50.14345737499864</v>
      </c>
      <c r="BB112" s="474">
        <f t="shared" si="23"/>
        <v>34.164856821017388</v>
      </c>
      <c r="BC112" s="475">
        <f t="shared" si="51"/>
        <v>2228.8062963921584</v>
      </c>
      <c r="BD112" s="647">
        <f t="shared" si="52"/>
        <v>0</v>
      </c>
      <c r="BE112" s="383">
        <f t="shared" si="53"/>
        <v>0.21279871307702919</v>
      </c>
      <c r="BF112" s="383">
        <f t="shared" si="54"/>
        <v>0.26988633802500545</v>
      </c>
      <c r="BG112" s="383">
        <f t="shared" si="55"/>
        <v>5.5086215315124989E-2</v>
      </c>
      <c r="BH112" s="383">
        <f t="shared" si="56"/>
        <v>0</v>
      </c>
      <c r="BI112" s="383">
        <f t="shared" si="57"/>
        <v>0</v>
      </c>
      <c r="BJ112" s="383">
        <f t="shared" si="58"/>
        <v>0</v>
      </c>
      <c r="BK112" s="383">
        <f t="shared" si="59"/>
        <v>0.46222873358284033</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89.317599611891666</v>
      </c>
      <c r="BW112" s="100">
        <f t="shared" si="63"/>
        <v>0.69790932595523925</v>
      </c>
      <c r="BX112" s="1385">
        <f t="shared" si="24"/>
        <v>41.25534595737377</v>
      </c>
      <c r="BY112" s="473">
        <f t="shared" si="64"/>
        <v>89.317599611891666</v>
      </c>
      <c r="BZ112" s="100">
        <f t="shared" si="65"/>
        <v>0.69790932595523925</v>
      </c>
      <c r="CA112" s="489">
        <f t="shared" si="25"/>
        <v>41.25534595737377</v>
      </c>
      <c r="CB112" s="579">
        <f t="shared" si="26"/>
        <v>0.33524737223917422</v>
      </c>
      <c r="CC112" s="471">
        <f t="shared" si="66"/>
        <v>0.34737754235140295</v>
      </c>
      <c r="CD112" s="100">
        <f t="shared" si="27"/>
        <v>0.33524737223917422</v>
      </c>
      <c r="CE112" s="471">
        <f t="shared" si="67"/>
        <v>0.34737754235140295</v>
      </c>
      <c r="CG112" s="473">
        <f t="shared" si="68"/>
        <v>1777.7522909795882</v>
      </c>
      <c r="CH112" s="474">
        <f t="shared" si="69"/>
        <v>782.83170686672827</v>
      </c>
      <c r="CI112" s="474">
        <f t="shared" si="70"/>
        <v>2981.4114513481313</v>
      </c>
      <c r="CJ112" s="474">
        <f t="shared" si="71"/>
        <v>3774.0921671845485</v>
      </c>
      <c r="CK112" s="474">
        <f t="shared" si="72"/>
        <v>45.424859010686319</v>
      </c>
      <c r="CL112" s="474">
        <f t="shared" si="73"/>
        <v>9361.5124753896835</v>
      </c>
      <c r="CM112" s="576">
        <f t="shared" si="74"/>
        <v>0</v>
      </c>
    </row>
    <row r="113" spans="1:91">
      <c r="A113" s="89">
        <f>'Input data'!A133</f>
        <v>2033</v>
      </c>
      <c r="B113" s="152">
        <f>'Input data'!B133</f>
        <v>67.659204065895452</v>
      </c>
      <c r="C113" s="204">
        <f>'Input data'!C133</f>
        <v>5692.5826618103829</v>
      </c>
      <c r="D113" s="204">
        <f>'Input data'!D133</f>
        <v>40262688.170007341</v>
      </c>
      <c r="E113" s="579">
        <f t="shared" si="89"/>
        <v>1</v>
      </c>
      <c r="F113" s="100">
        <f t="shared" si="89"/>
        <v>0.37</v>
      </c>
      <c r="G113" s="475">
        <f>B113*F113*'Input data'!$C$9</f>
        <v>766.21500989876245</v>
      </c>
      <c r="H113" s="301">
        <f>'Input data'!I133</f>
        <v>424.26313389388866</v>
      </c>
      <c r="I113" s="474">
        <f>'Input data'!K133</f>
        <v>28705.305953762938</v>
      </c>
      <c r="J113" s="474">
        <f>J112</f>
        <v>2228.8062963921584</v>
      </c>
      <c r="K113" s="475">
        <f t="shared" si="77"/>
        <v>11111.078938971066</v>
      </c>
      <c r="L113" s="100">
        <f t="shared" ref="L113:P127" si="90">L112</f>
        <v>0.7</v>
      </c>
      <c r="M113" s="100">
        <f t="shared" si="88"/>
        <v>0.6</v>
      </c>
      <c r="N113" s="100">
        <f t="shared" si="88"/>
        <v>0.9</v>
      </c>
      <c r="O113" s="100">
        <f t="shared" si="88"/>
        <v>0.9</v>
      </c>
      <c r="P113" s="100">
        <f t="shared" si="88"/>
        <v>0.23600000000000002</v>
      </c>
      <c r="Q113" s="473">
        <f t="shared" si="33"/>
        <v>307.35841920031703</v>
      </c>
      <c r="R113" s="474">
        <f t="shared" si="34"/>
        <v>214.484257781049</v>
      </c>
      <c r="S113" s="474">
        <f t="shared" si="35"/>
        <v>628.09873090005567</v>
      </c>
      <c r="T113" s="474">
        <f t="shared" si="36"/>
        <v>422.92236611846511</v>
      </c>
      <c r="U113" s="475">
        <f t="shared" si="37"/>
        <v>0</v>
      </c>
      <c r="V113" s="474">
        <f t="shared" si="38"/>
        <v>1572.8637739998867</v>
      </c>
      <c r="W113" s="579">
        <f t="shared" si="87"/>
        <v>0.5</v>
      </c>
      <c r="X113" s="475">
        <f t="shared" si="39"/>
        <v>3033.4854703020706</v>
      </c>
      <c r="Y113" s="473">
        <f t="shared" si="78"/>
        <v>4606.3492443019568</v>
      </c>
      <c r="Z113" s="474">
        <f t="shared" si="79"/>
        <v>8733.5359910612679</v>
      </c>
      <c r="AA113" s="475">
        <f t="shared" si="80"/>
        <v>6504.7296946691094</v>
      </c>
      <c r="AB113" s="938">
        <f t="shared" si="40"/>
        <v>0.74479909412712897</v>
      </c>
      <c r="AC113" s="118" t="str">
        <f t="shared" si="41"/>
        <v>Yes</v>
      </c>
      <c r="AD113" s="938">
        <f t="shared" si="42"/>
        <v>0.74479909412712897</v>
      </c>
      <c r="AE113" s="579">
        <f t="shared" si="10"/>
        <v>0.33818146943254268</v>
      </c>
      <c r="AF113" s="475">
        <f t="shared" si="43"/>
        <v>280.78520384759781</v>
      </c>
      <c r="AG113" s="474">
        <f t="shared" si="44"/>
        <v>2228.8062963921584</v>
      </c>
      <c r="AH113" s="474">
        <f t="shared" si="81"/>
        <v>9441.4061661445412</v>
      </c>
      <c r="AI113" s="474">
        <f t="shared" si="82"/>
        <v>6437.6604656145792</v>
      </c>
      <c r="AJ113" s="474">
        <f t="shared" si="11"/>
        <v>889.83047765739286</v>
      </c>
      <c r="AK113" s="474">
        <f t="shared" si="45"/>
        <v>18997.703405808672</v>
      </c>
      <c r="AL113" s="640">
        <f t="shared" si="12"/>
        <v>0</v>
      </c>
      <c r="AM113" s="100">
        <f t="shared" si="46"/>
        <v>0.11731977538457024</v>
      </c>
      <c r="AN113" s="100">
        <f t="shared" si="47"/>
        <v>0.49697618519814185</v>
      </c>
      <c r="AO113" s="100">
        <f t="shared" si="48"/>
        <v>0.33886519481329636</v>
      </c>
      <c r="AP113" s="100">
        <f t="shared" si="49"/>
        <v>4.6838844603991521E-2</v>
      </c>
      <c r="AQ113" s="100">
        <f t="shared" si="50"/>
        <v>1</v>
      </c>
      <c r="AR113" s="473">
        <f t="shared" si="13"/>
        <v>475.79389477735378</v>
      </c>
      <c r="AS113" s="474">
        <f t="shared" si="14"/>
        <v>603.43537824701332</v>
      </c>
      <c r="AT113" s="474">
        <f t="shared" si="15"/>
        <v>122.41256040534195</v>
      </c>
      <c r="AU113" s="474">
        <f t="shared" si="16"/>
        <v>0</v>
      </c>
      <c r="AV113" s="474">
        <f t="shared" si="17"/>
        <v>0</v>
      </c>
      <c r="AW113" s="474">
        <f t="shared" si="18"/>
        <v>0</v>
      </c>
      <c r="AX113" s="474">
        <f t="shared" si="19"/>
        <v>854.88846746765705</v>
      </c>
      <c r="AY113" s="474">
        <f t="shared" si="20"/>
        <v>68.860804080167085</v>
      </c>
      <c r="AZ113" s="474">
        <f t="shared" si="21"/>
        <v>19.356790118533684</v>
      </c>
      <c r="BA113" s="474">
        <f t="shared" si="22"/>
        <v>49.994818454099921</v>
      </c>
      <c r="BB113" s="474">
        <f t="shared" si="23"/>
        <v>34.063582841990474</v>
      </c>
      <c r="BC113" s="475">
        <f t="shared" si="51"/>
        <v>2228.806296392157</v>
      </c>
      <c r="BD113" s="647">
        <f t="shared" si="52"/>
        <v>0</v>
      </c>
      <c r="BE113" s="383">
        <f t="shared" si="53"/>
        <v>0.21347476249844466</v>
      </c>
      <c r="BF113" s="383">
        <f t="shared" si="54"/>
        <v>0.27074375158748171</v>
      </c>
      <c r="BG113" s="383">
        <f t="shared" si="55"/>
        <v>5.492292470794579E-2</v>
      </c>
      <c r="BH113" s="383">
        <f t="shared" si="56"/>
        <v>0</v>
      </c>
      <c r="BI113" s="383">
        <f t="shared" si="57"/>
        <v>0</v>
      </c>
      <c r="BJ113" s="383">
        <f t="shared" si="58"/>
        <v>0</v>
      </c>
      <c r="BK113" s="383">
        <f t="shared" si="59"/>
        <v>0.46085856120612789</v>
      </c>
      <c r="BL113" s="383">
        <f t="shared" si="60"/>
        <v>1</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89.20128796609103</v>
      </c>
      <c r="BW113" s="100">
        <f t="shared" si="63"/>
        <v>0.70419239676867573</v>
      </c>
      <c r="BX113" s="1385">
        <f t="shared" si="24"/>
        <v>40.262688170007344</v>
      </c>
      <c r="BY113" s="473">
        <f t="shared" si="64"/>
        <v>89.20128796609103</v>
      </c>
      <c r="BZ113" s="100">
        <f t="shared" si="65"/>
        <v>0.70419239676867573</v>
      </c>
      <c r="CA113" s="489">
        <f t="shared" si="25"/>
        <v>40.262688170007344</v>
      </c>
      <c r="CB113" s="579">
        <f t="shared" si="26"/>
        <v>0.33818146943254268</v>
      </c>
      <c r="CC113" s="471">
        <f t="shared" si="66"/>
        <v>0.35445223039388429</v>
      </c>
      <c r="CD113" s="100">
        <f t="shared" si="27"/>
        <v>0.33818146943254268</v>
      </c>
      <c r="CE113" s="471">
        <f t="shared" si="67"/>
        <v>0.35445223039388429</v>
      </c>
      <c r="CG113" s="473">
        <f t="shared" si="68"/>
        <v>1792.9241120018478</v>
      </c>
      <c r="CH113" s="474">
        <f t="shared" si="69"/>
        <v>789.51260532901495</v>
      </c>
      <c r="CI113" s="474">
        <f t="shared" si="70"/>
        <v>3006.8556266492046</v>
      </c>
      <c r="CJ113" s="474">
        <f t="shared" si="71"/>
        <v>3806.3012950661869</v>
      </c>
      <c r="CK113" s="474">
        <f t="shared" si="72"/>
        <v>45.81252709828685</v>
      </c>
      <c r="CL113" s="474">
        <f t="shared" si="73"/>
        <v>9441.4061661445412</v>
      </c>
      <c r="CM113" s="576">
        <f t="shared" si="74"/>
        <v>0</v>
      </c>
    </row>
    <row r="114" spans="1:91">
      <c r="A114" s="89">
        <f>'Input data'!A134</f>
        <v>2034</v>
      </c>
      <c r="B114" s="152">
        <f>'Input data'!B134</f>
        <v>68.236626094715163</v>
      </c>
      <c r="C114" s="204">
        <f>'Input data'!C134</f>
        <v>5868.7539844737303</v>
      </c>
      <c r="D114" s="204">
        <f>'Input data'!D134</f>
        <v>39656259.723391399</v>
      </c>
      <c r="E114" s="579">
        <f t="shared" si="89"/>
        <v>1</v>
      </c>
      <c r="F114" s="100">
        <f t="shared" si="89"/>
        <v>0.37</v>
      </c>
      <c r="G114" s="475">
        <f>B114*F114*'Input data'!$C$9</f>
        <v>772.75409695478163</v>
      </c>
      <c r="H114" s="301">
        <f>'Input data'!I134</f>
        <v>424.26313389388866</v>
      </c>
      <c r="I114" s="474">
        <f>'Input data'!K134</f>
        <v>28950.284833289355</v>
      </c>
      <c r="J114" s="474">
        <f t="shared" ref="J114:J130" si="91">J113</f>
        <v>2228.8062963921584</v>
      </c>
      <c r="K114" s="475">
        <f t="shared" si="77"/>
        <v>11224.925143684375</v>
      </c>
      <c r="L114" s="100">
        <f t="shared" si="90"/>
        <v>0.7</v>
      </c>
      <c r="M114" s="100">
        <f t="shared" si="88"/>
        <v>0.6</v>
      </c>
      <c r="N114" s="100">
        <f t="shared" si="88"/>
        <v>0.9</v>
      </c>
      <c r="O114" s="100">
        <f t="shared" si="88"/>
        <v>0.9</v>
      </c>
      <c r="P114" s="100">
        <f t="shared" si="88"/>
        <v>0.23600000000000002</v>
      </c>
      <c r="Q114" s="473">
        <f t="shared" si="33"/>
        <v>309.98149945140312</v>
      </c>
      <c r="R114" s="474">
        <f t="shared" si="34"/>
        <v>216.31472470698566</v>
      </c>
      <c r="S114" s="474">
        <f t="shared" si="35"/>
        <v>633.45909610834542</v>
      </c>
      <c r="T114" s="474">
        <f t="shared" si="36"/>
        <v>426.5317004883982</v>
      </c>
      <c r="U114" s="475">
        <f t="shared" si="37"/>
        <v>0</v>
      </c>
      <c r="V114" s="474">
        <f t="shared" si="38"/>
        <v>1586.2870207551323</v>
      </c>
      <c r="W114" s="579">
        <f t="shared" si="87"/>
        <v>0.5</v>
      </c>
      <c r="X114" s="475">
        <f t="shared" si="39"/>
        <v>3033.4854703020706</v>
      </c>
      <c r="Y114" s="473">
        <f t="shared" si="78"/>
        <v>4619.7724910572033</v>
      </c>
      <c r="Z114" s="474">
        <f t="shared" si="79"/>
        <v>8833.9589490193302</v>
      </c>
      <c r="AA114" s="475">
        <f t="shared" si="80"/>
        <v>6605.1526526271718</v>
      </c>
      <c r="AB114" s="938">
        <f t="shared" si="40"/>
        <v>0.74770017505689435</v>
      </c>
      <c r="AC114" s="118" t="str">
        <f t="shared" si="41"/>
        <v>Yes</v>
      </c>
      <c r="AD114" s="938">
        <f t="shared" si="42"/>
        <v>0.74770017505689435</v>
      </c>
      <c r="AE114" s="579">
        <f t="shared" si="10"/>
        <v>0.34108865163413971</v>
      </c>
      <c r="AF114" s="475">
        <f t="shared" si="43"/>
        <v>279.5517936159477</v>
      </c>
      <c r="AG114" s="474">
        <f t="shared" si="44"/>
        <v>2228.8062963921584</v>
      </c>
      <c r="AH114" s="474">
        <f t="shared" si="81"/>
        <v>9521.9816913614286</v>
      </c>
      <c r="AI114" s="474">
        <f t="shared" si="82"/>
        <v>6437.6604656145792</v>
      </c>
      <c r="AJ114" s="474">
        <f t="shared" si="11"/>
        <v>887.22276171023486</v>
      </c>
      <c r="AK114" s="474">
        <f t="shared" si="45"/>
        <v>19075.671215078404</v>
      </c>
      <c r="AL114" s="640">
        <f t="shared" si="12"/>
        <v>0</v>
      </c>
      <c r="AM114" s="100">
        <f t="shared" si="46"/>
        <v>0.11684025538406186</v>
      </c>
      <c r="AN114" s="100">
        <f t="shared" si="47"/>
        <v>0.49916889340359138</v>
      </c>
      <c r="AO114" s="100">
        <f t="shared" si="48"/>
        <v>0.33748015433008288</v>
      </c>
      <c r="AP114" s="100">
        <f t="shared" si="49"/>
        <v>4.6510696882263718E-2</v>
      </c>
      <c r="AQ114" s="100">
        <f t="shared" si="50"/>
        <v>0.99999999999999978</v>
      </c>
      <c r="AR114" s="473">
        <f t="shared" si="13"/>
        <v>477.27913338379346</v>
      </c>
      <c r="AS114" s="474">
        <f t="shared" si="14"/>
        <v>605.31906261140239</v>
      </c>
      <c r="AT114" s="474">
        <f t="shared" si="15"/>
        <v>122.05382107923813</v>
      </c>
      <c r="AU114" s="474">
        <f t="shared" si="16"/>
        <v>0</v>
      </c>
      <c r="AV114" s="474">
        <f t="shared" si="17"/>
        <v>0</v>
      </c>
      <c r="AW114" s="474">
        <f t="shared" si="18"/>
        <v>0</v>
      </c>
      <c r="AX114" s="474">
        <f t="shared" si="19"/>
        <v>852.38315174108629</v>
      </c>
      <c r="AY114" s="474">
        <f t="shared" si="20"/>
        <v>68.659002252242828</v>
      </c>
      <c r="AZ114" s="474">
        <f t="shared" si="21"/>
        <v>19.300063571685364</v>
      </c>
      <c r="BA114" s="474">
        <f t="shared" si="22"/>
        <v>49.848304833099625</v>
      </c>
      <c r="BB114" s="474">
        <f t="shared" si="23"/>
        <v>33.963756919610013</v>
      </c>
      <c r="BC114" s="475">
        <f t="shared" si="51"/>
        <v>2228.8062963921584</v>
      </c>
      <c r="BD114" s="647">
        <f t="shared" si="52"/>
        <v>0</v>
      </c>
      <c r="BE114" s="383">
        <f t="shared" si="53"/>
        <v>0.21414114548957475</v>
      </c>
      <c r="BF114" s="383">
        <f t="shared" si="54"/>
        <v>0.27158890550123271</v>
      </c>
      <c r="BG114" s="383">
        <f t="shared" si="55"/>
        <v>5.4761968896449478E-2</v>
      </c>
      <c r="BH114" s="383">
        <f t="shared" si="56"/>
        <v>0</v>
      </c>
      <c r="BI114" s="383">
        <f t="shared" si="57"/>
        <v>0</v>
      </c>
      <c r="BJ114" s="383">
        <f t="shared" si="58"/>
        <v>0</v>
      </c>
      <c r="BK114" s="383">
        <f t="shared" si="59"/>
        <v>0.45950798011274291</v>
      </c>
      <c r="BL114" s="383">
        <f t="shared" si="60"/>
        <v>0.99999999999999978</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89.576153887509733</v>
      </c>
      <c r="BW114" s="100">
        <f t="shared" si="63"/>
        <v>0.70949230346386294</v>
      </c>
      <c r="BX114" s="1385">
        <f t="shared" si="24"/>
        <v>39.6562597233914</v>
      </c>
      <c r="BY114" s="473">
        <f t="shared" si="64"/>
        <v>89.576153887509733</v>
      </c>
      <c r="BZ114" s="100">
        <f t="shared" si="65"/>
        <v>0.70949230346386294</v>
      </c>
      <c r="CA114" s="489">
        <f t="shared" si="25"/>
        <v>39.6562597233914</v>
      </c>
      <c r="CB114" s="579">
        <f t="shared" si="26"/>
        <v>0.34108865163413971</v>
      </c>
      <c r="CC114" s="471">
        <f t="shared" si="66"/>
        <v>0.36061817011653796</v>
      </c>
      <c r="CD114" s="100">
        <f t="shared" si="27"/>
        <v>0.34108865163413971</v>
      </c>
      <c r="CE114" s="471">
        <f t="shared" si="67"/>
        <v>0.36061817011653796</v>
      </c>
      <c r="CG114" s="473">
        <f t="shared" si="68"/>
        <v>1808.2254134665175</v>
      </c>
      <c r="CH114" s="474">
        <f t="shared" si="69"/>
        <v>796.25052039381262</v>
      </c>
      <c r="CI114" s="474">
        <f t="shared" si="70"/>
        <v>3032.5169494548468</v>
      </c>
      <c r="CJ114" s="474">
        <f t="shared" si="71"/>
        <v>3838.7853043955847</v>
      </c>
      <c r="CK114" s="474">
        <f t="shared" si="72"/>
        <v>46.203503650666732</v>
      </c>
      <c r="CL114" s="474">
        <f t="shared" si="73"/>
        <v>9521.9816913614286</v>
      </c>
      <c r="CM114" s="576">
        <f t="shared" si="74"/>
        <v>0</v>
      </c>
    </row>
    <row r="115" spans="1:91">
      <c r="A115" s="89">
        <f>'Input data'!A135</f>
        <v>2035</v>
      </c>
      <c r="B115" s="152">
        <f>'Input data'!B135</f>
        <v>68.818976000000006</v>
      </c>
      <c r="C115" s="204">
        <f>'Input data'!C135</f>
        <v>6036.7474148806386</v>
      </c>
      <c r="D115" s="204">
        <f>'Input data'!D135</f>
        <v>39791303.809178911</v>
      </c>
      <c r="E115" s="579">
        <f t="shared" si="89"/>
        <v>1</v>
      </c>
      <c r="F115" s="100">
        <f t="shared" si="89"/>
        <v>0.37</v>
      </c>
      <c r="G115" s="475">
        <f>B115*F115*'Input data'!$C$9</f>
        <v>779.34899035624392</v>
      </c>
      <c r="H115" s="301">
        <f>'Input data'!I135</f>
        <v>424.26313389388866</v>
      </c>
      <c r="I115" s="474">
        <f>'Input data'!K135</f>
        <v>29197.354429128314</v>
      </c>
      <c r="J115" s="474">
        <f t="shared" si="91"/>
        <v>2228.8062963921584</v>
      </c>
      <c r="K115" s="475">
        <f t="shared" si="77"/>
        <v>11339.742942837889</v>
      </c>
      <c r="L115" s="100">
        <f t="shared" si="90"/>
        <v>0.7</v>
      </c>
      <c r="M115" s="100">
        <f t="shared" si="88"/>
        <v>0.6</v>
      </c>
      <c r="N115" s="100">
        <f t="shared" si="88"/>
        <v>0.9</v>
      </c>
      <c r="O115" s="100">
        <f t="shared" si="88"/>
        <v>0.9</v>
      </c>
      <c r="P115" s="100">
        <f t="shared" si="88"/>
        <v>0.23600000000000002</v>
      </c>
      <c r="Q115" s="473">
        <f t="shared" si="33"/>
        <v>312.62696578197756</v>
      </c>
      <c r="R115" s="474">
        <f t="shared" si="34"/>
        <v>218.16081333496061</v>
      </c>
      <c r="S115" s="474">
        <f t="shared" si="35"/>
        <v>638.86520812960043</v>
      </c>
      <c r="T115" s="474">
        <f t="shared" si="36"/>
        <v>430.17183789841056</v>
      </c>
      <c r="U115" s="475">
        <f t="shared" si="37"/>
        <v>0</v>
      </c>
      <c r="V115" s="474">
        <f t="shared" si="38"/>
        <v>1599.824825144949</v>
      </c>
      <c r="W115" s="579">
        <f t="shared" si="87"/>
        <v>0.5</v>
      </c>
      <c r="X115" s="475">
        <f t="shared" si="39"/>
        <v>3033.4854703020706</v>
      </c>
      <c r="Y115" s="473">
        <f t="shared" si="78"/>
        <v>4633.3102954470196</v>
      </c>
      <c r="Z115" s="474">
        <f t="shared" si="79"/>
        <v>8935.2389437830279</v>
      </c>
      <c r="AA115" s="475">
        <f t="shared" si="80"/>
        <v>6706.4326473908695</v>
      </c>
      <c r="AB115" s="938">
        <f t="shared" si="40"/>
        <v>0.75055996706804129</v>
      </c>
      <c r="AC115" s="118" t="str">
        <f t="shared" si="41"/>
        <v>Yes</v>
      </c>
      <c r="AD115" s="938">
        <f t="shared" si="42"/>
        <v>0.75055996706804129</v>
      </c>
      <c r="AE115" s="579">
        <f t="shared" si="10"/>
        <v>0.34396919974586804</v>
      </c>
      <c r="AF115" s="475">
        <f t="shared" si="43"/>
        <v>278.32968324673374</v>
      </c>
      <c r="AG115" s="474">
        <f t="shared" si="44"/>
        <v>2228.8062963921584</v>
      </c>
      <c r="AH115" s="474">
        <f t="shared" si="81"/>
        <v>9603.2448700008808</v>
      </c>
      <c r="AI115" s="474">
        <f t="shared" si="82"/>
        <v>6437.6604656145792</v>
      </c>
      <c r="AJ115" s="474">
        <f t="shared" si="11"/>
        <v>884.65215943695455</v>
      </c>
      <c r="AK115" s="474">
        <f t="shared" si="45"/>
        <v>19154.363791444572</v>
      </c>
      <c r="AL115" s="640">
        <f t="shared" si="12"/>
        <v>0</v>
      </c>
      <c r="AM115" s="100">
        <f t="shared" si="46"/>
        <v>0.11636023627094678</v>
      </c>
      <c r="AN115" s="100">
        <f t="shared" si="47"/>
        <v>0.50136068075987139</v>
      </c>
      <c r="AO115" s="100">
        <f t="shared" si="48"/>
        <v>0.33609367221531022</v>
      </c>
      <c r="AP115" s="100">
        <f t="shared" si="49"/>
        <v>4.6185410753871683E-2</v>
      </c>
      <c r="AQ115" s="100">
        <f t="shared" si="50"/>
        <v>1.0000000000000002</v>
      </c>
      <c r="AR115" s="473">
        <f t="shared" si="13"/>
        <v>478.74323369818387</v>
      </c>
      <c r="AS115" s="474">
        <f t="shared" si="14"/>
        <v>607.17593790279147</v>
      </c>
      <c r="AT115" s="474">
        <f t="shared" si="15"/>
        <v>121.70018742208988</v>
      </c>
      <c r="AU115" s="474">
        <f t="shared" si="16"/>
        <v>0</v>
      </c>
      <c r="AV115" s="474">
        <f t="shared" si="17"/>
        <v>0</v>
      </c>
      <c r="AW115" s="474">
        <f t="shared" si="18"/>
        <v>0</v>
      </c>
      <c r="AX115" s="474">
        <f t="shared" si="19"/>
        <v>849.91349230251683</v>
      </c>
      <c r="AY115" s="474">
        <f t="shared" si="20"/>
        <v>68.460072519048694</v>
      </c>
      <c r="AZ115" s="474">
        <f t="shared" si="21"/>
        <v>19.244144371420276</v>
      </c>
      <c r="BA115" s="474">
        <f t="shared" si="22"/>
        <v>49.703876431064366</v>
      </c>
      <c r="BB115" s="474">
        <f t="shared" si="23"/>
        <v>33.86535174504214</v>
      </c>
      <c r="BC115" s="475">
        <f t="shared" si="51"/>
        <v>2228.806296392157</v>
      </c>
      <c r="BD115" s="647">
        <f t="shared" si="52"/>
        <v>0</v>
      </c>
      <c r="BE115" s="383">
        <f t="shared" si="53"/>
        <v>0.21479804434918434</v>
      </c>
      <c r="BF115" s="383">
        <f t="shared" si="54"/>
        <v>0.27242203097041112</v>
      </c>
      <c r="BG115" s="383">
        <f t="shared" si="55"/>
        <v>5.4603303848831559E-2</v>
      </c>
      <c r="BH115" s="383">
        <f t="shared" si="56"/>
        <v>0</v>
      </c>
      <c r="BI115" s="383">
        <f t="shared" si="57"/>
        <v>0</v>
      </c>
      <c r="BJ115" s="383">
        <f t="shared" si="58"/>
        <v>0</v>
      </c>
      <c r="BK115" s="383">
        <f t="shared" si="59"/>
        <v>0.45817662083157323</v>
      </c>
      <c r="BL115" s="383">
        <f t="shared" si="60"/>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90.651284589796589</v>
      </c>
      <c r="BW115" s="100">
        <f t="shared" si="63"/>
        <v>0.71204391973020498</v>
      </c>
      <c r="BX115" s="1385">
        <f t="shared" si="24"/>
        <v>39.791303809178913</v>
      </c>
      <c r="BY115" s="473">
        <f t="shared" si="64"/>
        <v>90.651284589796589</v>
      </c>
      <c r="BZ115" s="100">
        <f t="shared" si="65"/>
        <v>0.71204391973020498</v>
      </c>
      <c r="CA115" s="489">
        <f t="shared" si="25"/>
        <v>39.791303809178913</v>
      </c>
      <c r="CB115" s="579">
        <f t="shared" si="26"/>
        <v>0.34396919974586804</v>
      </c>
      <c r="CC115" s="471">
        <f t="shared" si="66"/>
        <v>0.36401779390258671</v>
      </c>
      <c r="CD115" s="100">
        <f t="shared" si="27"/>
        <v>0.34396919974586804</v>
      </c>
      <c r="CE115" s="471">
        <f t="shared" si="67"/>
        <v>0.36401779390258671</v>
      </c>
      <c r="CG115" s="473">
        <f t="shared" si="68"/>
        <v>1823.6573003948697</v>
      </c>
      <c r="CH115" s="474">
        <f t="shared" si="69"/>
        <v>803.04593865629693</v>
      </c>
      <c r="CI115" s="474">
        <f t="shared" si="70"/>
        <v>3058.3972729608545</v>
      </c>
      <c r="CJ115" s="474">
        <f t="shared" si="71"/>
        <v>3871.5465410856968</v>
      </c>
      <c r="CK115" s="474">
        <f t="shared" si="72"/>
        <v>46.597816903163221</v>
      </c>
      <c r="CL115" s="474">
        <f t="shared" si="73"/>
        <v>9603.244870000879</v>
      </c>
      <c r="CM115" s="576">
        <f t="shared" si="74"/>
        <v>0</v>
      </c>
    </row>
    <row r="116" spans="1:91">
      <c r="A116" s="89">
        <f>'Input data'!A136</f>
        <v>2036</v>
      </c>
      <c r="B116" s="152">
        <f>'Input data'!B136</f>
        <v>69.322810489383542</v>
      </c>
      <c r="C116" s="204">
        <f>'Input data'!C136</f>
        <v>6215.8972497914319</v>
      </c>
      <c r="D116" s="204">
        <f>'Input data'!D136</f>
        <v>39216082.697226301</v>
      </c>
      <c r="E116" s="579">
        <f t="shared" si="89"/>
        <v>1</v>
      </c>
      <c r="F116" s="100">
        <f t="shared" si="89"/>
        <v>0.37</v>
      </c>
      <c r="G116" s="475">
        <f>B116*F116*'Input data'!$C$9</f>
        <v>785.05472623652952</v>
      </c>
      <c r="H116" s="301">
        <f>'Input data'!I136</f>
        <v>424.26313389388866</v>
      </c>
      <c r="I116" s="474">
        <f>'Input data'!K136</f>
        <v>29411.112828557998</v>
      </c>
      <c r="J116" s="474">
        <f t="shared" si="91"/>
        <v>2228.8062963921584</v>
      </c>
      <c r="K116" s="475">
        <f t="shared" si="77"/>
        <v>11439.080414491387</v>
      </c>
      <c r="L116" s="100">
        <f t="shared" si="90"/>
        <v>0.7</v>
      </c>
      <c r="M116" s="100">
        <f t="shared" si="88"/>
        <v>0.6</v>
      </c>
      <c r="N116" s="100">
        <f t="shared" si="88"/>
        <v>0.9</v>
      </c>
      <c r="O116" s="100">
        <f t="shared" si="88"/>
        <v>0.9</v>
      </c>
      <c r="P116" s="100">
        <f t="shared" si="88"/>
        <v>0.23600000000000002</v>
      </c>
      <c r="Q116" s="473">
        <f t="shared" si="33"/>
        <v>314.91575670604311</v>
      </c>
      <c r="R116" s="474">
        <f t="shared" si="34"/>
        <v>219.75800277861231</v>
      </c>
      <c r="S116" s="474">
        <f t="shared" si="35"/>
        <v>643.54244026282595</v>
      </c>
      <c r="T116" s="474">
        <f t="shared" si="36"/>
        <v>433.32119322004019</v>
      </c>
      <c r="U116" s="475">
        <f t="shared" si="37"/>
        <v>0</v>
      </c>
      <c r="V116" s="474">
        <f t="shared" si="38"/>
        <v>1611.5373929675216</v>
      </c>
      <c r="W116" s="579">
        <f t="shared" si="87"/>
        <v>0.5</v>
      </c>
      <c r="X116" s="475">
        <f t="shared" si="39"/>
        <v>3033.4854703020706</v>
      </c>
      <c r="Y116" s="473">
        <f t="shared" si="78"/>
        <v>4645.0228632695926</v>
      </c>
      <c r="Z116" s="474">
        <f t="shared" si="79"/>
        <v>9022.8638476139531</v>
      </c>
      <c r="AA116" s="475">
        <f t="shared" si="80"/>
        <v>6794.0575512217947</v>
      </c>
      <c r="AB116" s="938">
        <f t="shared" si="40"/>
        <v>0.75298238629838643</v>
      </c>
      <c r="AC116" s="118" t="str">
        <f t="shared" si="41"/>
        <v>Yes</v>
      </c>
      <c r="AD116" s="938">
        <f t="shared" si="42"/>
        <v>0.75298238629838643</v>
      </c>
      <c r="AE116" s="579">
        <f t="shared" si="10"/>
        <v>0.34642074566368197</v>
      </c>
      <c r="AF116" s="475">
        <f t="shared" si="43"/>
        <v>277.28958269275716</v>
      </c>
      <c r="AG116" s="474">
        <f t="shared" si="44"/>
        <v>2228.8062963921584</v>
      </c>
      <c r="AH116" s="474">
        <f t="shared" si="81"/>
        <v>9673.5517280323329</v>
      </c>
      <c r="AI116" s="474">
        <f t="shared" si="82"/>
        <v>6437.6604656145792</v>
      </c>
      <c r="AJ116" s="474">
        <f t="shared" si="11"/>
        <v>882.47470165118193</v>
      </c>
      <c r="AK116" s="474">
        <f t="shared" si="45"/>
        <v>19222.493191690253</v>
      </c>
      <c r="AL116" s="640">
        <f t="shared" si="12"/>
        <v>0</v>
      </c>
      <c r="AM116" s="100">
        <f t="shared" si="46"/>
        <v>0.11594782602683691</v>
      </c>
      <c r="AN116" s="100">
        <f t="shared" si="47"/>
        <v>0.5032412617638039</v>
      </c>
      <c r="AO116" s="100">
        <f t="shared" si="48"/>
        <v>0.33490247084064695</v>
      </c>
      <c r="AP116" s="100">
        <f t="shared" si="49"/>
        <v>4.5908441368712229E-2</v>
      </c>
      <c r="AQ116" s="100">
        <f t="shared" si="50"/>
        <v>1</v>
      </c>
      <c r="AR116" s="473">
        <f t="shared" si="13"/>
        <v>479.98341646074488</v>
      </c>
      <c r="AS116" s="474">
        <f t="shared" si="14"/>
        <v>608.74882516056437</v>
      </c>
      <c r="AT116" s="474">
        <f t="shared" si="15"/>
        <v>121.4006380254085</v>
      </c>
      <c r="AU116" s="474">
        <f t="shared" si="16"/>
        <v>0</v>
      </c>
      <c r="AV116" s="474">
        <f t="shared" si="17"/>
        <v>0</v>
      </c>
      <c r="AW116" s="474">
        <f t="shared" si="18"/>
        <v>0</v>
      </c>
      <c r="AX116" s="474">
        <f t="shared" si="19"/>
        <v>847.82153928877506</v>
      </c>
      <c r="AY116" s="474">
        <f t="shared" si="20"/>
        <v>68.291566834265154</v>
      </c>
      <c r="AZ116" s="474">
        <f t="shared" si="21"/>
        <v>19.196777379156618</v>
      </c>
      <c r="BA116" s="474">
        <f t="shared" si="22"/>
        <v>49.581536716450756</v>
      </c>
      <c r="BB116" s="474">
        <f t="shared" si="23"/>
        <v>33.781996526792177</v>
      </c>
      <c r="BC116" s="475">
        <f t="shared" si="51"/>
        <v>2228.8062963921579</v>
      </c>
      <c r="BD116" s="647">
        <f t="shared" si="52"/>
        <v>0</v>
      </c>
      <c r="BE116" s="383">
        <f t="shared" si="53"/>
        <v>0.21535447797222657</v>
      </c>
      <c r="BF116" s="383">
        <f t="shared" si="54"/>
        <v>0.27312773934009704</v>
      </c>
      <c r="BG116" s="383">
        <f t="shared" si="55"/>
        <v>5.4468904822246644E-2</v>
      </c>
      <c r="BH116" s="383">
        <f t="shared" si="56"/>
        <v>0</v>
      </c>
      <c r="BI116" s="383">
        <f t="shared" si="57"/>
        <v>0</v>
      </c>
      <c r="BJ116" s="383">
        <f t="shared" si="58"/>
        <v>0</v>
      </c>
      <c r="BK116" s="383">
        <f t="shared" si="59"/>
        <v>0.45704887786542958</v>
      </c>
      <c r="BL116" s="383">
        <f t="shared" si="60"/>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91.062791895379888</v>
      </c>
      <c r="BW116" s="100">
        <f t="shared" si="63"/>
        <v>0.7171352274777465</v>
      </c>
      <c r="BX116" s="1385">
        <f t="shared" si="24"/>
        <v>39.216082697226298</v>
      </c>
      <c r="BY116" s="473">
        <f t="shared" si="64"/>
        <v>91.062791895379888</v>
      </c>
      <c r="BZ116" s="100">
        <f t="shared" si="65"/>
        <v>0.7171352274777465</v>
      </c>
      <c r="CA116" s="489">
        <f t="shared" si="25"/>
        <v>39.216082697226298</v>
      </c>
      <c r="CB116" s="579">
        <f t="shared" si="26"/>
        <v>0.34642074566368197</v>
      </c>
      <c r="CC116" s="471">
        <f t="shared" si="66"/>
        <v>0.3698209800126665</v>
      </c>
      <c r="CD116" s="100">
        <f t="shared" si="27"/>
        <v>0.34642074566368197</v>
      </c>
      <c r="CE116" s="471">
        <f t="shared" si="67"/>
        <v>0.3698209800126665</v>
      </c>
      <c r="CG116" s="473">
        <f t="shared" si="68"/>
        <v>1837.0085807852522</v>
      </c>
      <c r="CH116" s="474">
        <f t="shared" si="69"/>
        <v>808.92516360225397</v>
      </c>
      <c r="CI116" s="474">
        <f t="shared" si="70"/>
        <v>3080.7882778539556</v>
      </c>
      <c r="CJ116" s="474">
        <f t="shared" si="71"/>
        <v>3899.8907389803658</v>
      </c>
      <c r="CK116" s="474">
        <f t="shared" si="72"/>
        <v>46.938966810505526</v>
      </c>
      <c r="CL116" s="474">
        <f t="shared" si="73"/>
        <v>9673.5517280323329</v>
      </c>
      <c r="CM116" s="576">
        <f t="shared" si="74"/>
        <v>0</v>
      </c>
    </row>
    <row r="117" spans="1:91" s="1" customFormat="1">
      <c r="A117" s="89">
        <f>'Input data'!A137</f>
        <v>2037</v>
      </c>
      <c r="B117" s="152">
        <f>'Input data'!B137</f>
        <v>69.830333629884052</v>
      </c>
      <c r="C117" s="204">
        <f>'Input data'!C137</f>
        <v>6413.8831516087803</v>
      </c>
      <c r="D117" s="204">
        <f>'Input data'!D137</f>
        <v>38325122.85038393</v>
      </c>
      <c r="E117" s="579">
        <f t="shared" si="89"/>
        <v>1</v>
      </c>
      <c r="F117" s="100">
        <f t="shared" si="89"/>
        <v>0.37</v>
      </c>
      <c r="G117" s="475">
        <f>B117*F117*'Input data'!$C$9</f>
        <v>790.80223470180374</v>
      </c>
      <c r="H117" s="301">
        <f>'Input data'!I137</f>
        <v>424.26313389388866</v>
      </c>
      <c r="I117" s="474">
        <f>'Input data'!K137</f>
        <v>29626.436186670413</v>
      </c>
      <c r="J117" s="474">
        <f t="shared" si="91"/>
        <v>2228.8062963921584</v>
      </c>
      <c r="K117" s="475">
        <f t="shared" si="77"/>
        <v>11539.145151315281</v>
      </c>
      <c r="L117" s="100">
        <f t="shared" si="90"/>
        <v>0.7</v>
      </c>
      <c r="M117" s="100">
        <f t="shared" si="88"/>
        <v>0.6</v>
      </c>
      <c r="N117" s="100">
        <f t="shared" si="88"/>
        <v>0.9</v>
      </c>
      <c r="O117" s="100">
        <f t="shared" si="88"/>
        <v>0.9</v>
      </c>
      <c r="P117" s="100">
        <f>P116</f>
        <v>0.23600000000000002</v>
      </c>
      <c r="Q117" s="473">
        <f t="shared" si="33"/>
        <v>317.2213042265239</v>
      </c>
      <c r="R117" s="474">
        <f t="shared" si="34"/>
        <v>221.36688549604628</v>
      </c>
      <c r="S117" s="474">
        <f t="shared" si="35"/>
        <v>648.25391514420789</v>
      </c>
      <c r="T117" s="474">
        <f t="shared" si="36"/>
        <v>436.49360546466687</v>
      </c>
      <c r="U117" s="475">
        <f t="shared" si="37"/>
        <v>0</v>
      </c>
      <c r="V117" s="474">
        <f t="shared" si="38"/>
        <v>1623.3357103314449</v>
      </c>
      <c r="W117" s="579">
        <f t="shared" si="87"/>
        <v>0.5</v>
      </c>
      <c r="X117" s="475">
        <f t="shared" si="39"/>
        <v>3033.4854703020706</v>
      </c>
      <c r="Y117" s="473">
        <f t="shared" si="78"/>
        <v>4656.8211806335157</v>
      </c>
      <c r="Z117" s="474">
        <f t="shared" si="79"/>
        <v>9111.1302670739242</v>
      </c>
      <c r="AA117" s="475">
        <f t="shared" si="80"/>
        <v>6882.3239706817658</v>
      </c>
      <c r="AB117" s="938">
        <f t="shared" si="40"/>
        <v>0.75537543300783594</v>
      </c>
      <c r="AC117" s="118" t="str">
        <f t="shared" si="41"/>
        <v>Yes</v>
      </c>
      <c r="AD117" s="938">
        <f t="shared" si="42"/>
        <v>0.75537543300783594</v>
      </c>
      <c r="AE117" s="579">
        <f t="shared" si="10"/>
        <v>0.34885304461912336</v>
      </c>
      <c r="AF117" s="475">
        <f t="shared" si="43"/>
        <v>276.25764791535482</v>
      </c>
      <c r="AG117" s="474">
        <f t="shared" si="44"/>
        <v>2228.8062963921584</v>
      </c>
      <c r="AH117" s="474">
        <f t="shared" si="81"/>
        <v>9744.373313570286</v>
      </c>
      <c r="AI117" s="474">
        <f t="shared" si="82"/>
        <v>6437.6604656145792</v>
      </c>
      <c r="AJ117" s="474">
        <f t="shared" si="11"/>
        <v>880.32364615924473</v>
      </c>
      <c r="AK117" s="474">
        <f t="shared" si="45"/>
        <v>19291.16372173627</v>
      </c>
      <c r="AL117" s="640">
        <f t="shared" si="12"/>
        <v>0</v>
      </c>
      <c r="AM117" s="100">
        <f t="shared" si="46"/>
        <v>0.11553508790560191</v>
      </c>
      <c r="AN117" s="100">
        <f t="shared" si="47"/>
        <v>0.50512107274227513</v>
      </c>
      <c r="AO117" s="100">
        <f t="shared" si="48"/>
        <v>0.3337103224291732</v>
      </c>
      <c r="AP117" s="100">
        <f t="shared" si="49"/>
        <v>4.5633516922949667E-2</v>
      </c>
      <c r="AQ117" s="100">
        <f t="shared" si="50"/>
        <v>1</v>
      </c>
      <c r="AR117" s="473">
        <f t="shared" si="13"/>
        <v>481.20856165522059</v>
      </c>
      <c r="AS117" s="474">
        <f t="shared" si="14"/>
        <v>610.30264071379247</v>
      </c>
      <c r="AT117" s="474">
        <f t="shared" si="15"/>
        <v>121.10472075020429</v>
      </c>
      <c r="AU117" s="474">
        <f t="shared" si="16"/>
        <v>0</v>
      </c>
      <c r="AV117" s="474">
        <f t="shared" si="17"/>
        <v>0</v>
      </c>
      <c r="AW117" s="474">
        <f t="shared" si="18"/>
        <v>0</v>
      </c>
      <c r="AX117" s="474">
        <f t="shared" si="19"/>
        <v>845.75495179923291</v>
      </c>
      <c r="AY117" s="474">
        <f t="shared" si="20"/>
        <v>68.125104328748591</v>
      </c>
      <c r="AZ117" s="474">
        <f t="shared" si="21"/>
        <v>19.149984725121765</v>
      </c>
      <c r="BA117" s="474">
        <f t="shared" si="22"/>
        <v>49.460680405609196</v>
      </c>
      <c r="BB117" s="474">
        <f t="shared" si="23"/>
        <v>33.699652014228135</v>
      </c>
      <c r="BC117" s="475">
        <f t="shared" si="51"/>
        <v>2228.8062963921575</v>
      </c>
      <c r="BD117" s="647">
        <f t="shared" si="52"/>
        <v>0</v>
      </c>
      <c r="BE117" s="383">
        <f t="shared" si="53"/>
        <v>0.21590416467961743</v>
      </c>
      <c r="BF117" s="383">
        <f t="shared" si="54"/>
        <v>0.27382489079544936</v>
      </c>
      <c r="BG117" s="383">
        <f t="shared" si="55"/>
        <v>5.4336135422015146E-2</v>
      </c>
      <c r="BH117" s="383">
        <f t="shared" si="56"/>
        <v>0</v>
      </c>
      <c r="BI117" s="383">
        <f t="shared" si="57"/>
        <v>0</v>
      </c>
      <c r="BJ117" s="383">
        <f t="shared" si="58"/>
        <v>0</v>
      </c>
      <c r="BK117" s="383">
        <f t="shared" si="59"/>
        <v>0.45593480910291828</v>
      </c>
      <c r="BL117" s="383">
        <f t="shared" si="60"/>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91.255684395174598</v>
      </c>
      <c r="BW117" s="100">
        <f t="shared" si="63"/>
        <v>0.7235911365543789</v>
      </c>
      <c r="BX117" s="1385">
        <f t="shared" si="24"/>
        <v>38.325122850383927</v>
      </c>
      <c r="BY117" s="473">
        <f t="shared" si="64"/>
        <v>91.255684395174598</v>
      </c>
      <c r="BZ117" s="100">
        <f t="shared" si="65"/>
        <v>0.7235911365543789</v>
      </c>
      <c r="CA117" s="489">
        <f t="shared" si="25"/>
        <v>38.325122850383927</v>
      </c>
      <c r="CB117" s="579">
        <f t="shared" si="26"/>
        <v>0.34885304461912336</v>
      </c>
      <c r="CC117" s="471">
        <f t="shared" si="66"/>
        <v>0.37688115895069452</v>
      </c>
      <c r="CD117" s="100">
        <f t="shared" si="27"/>
        <v>0.34885304461912336</v>
      </c>
      <c r="CE117" s="471">
        <f t="shared" si="67"/>
        <v>0.37688115895069452</v>
      </c>
      <c r="CG117" s="473">
        <f t="shared" si="68"/>
        <v>1850.4576079880558</v>
      </c>
      <c r="CH117" s="474">
        <f t="shared" si="69"/>
        <v>814.84743127379011</v>
      </c>
      <c r="CI117" s="474">
        <f t="shared" si="70"/>
        <v>3103.3432107967428</v>
      </c>
      <c r="CJ117" s="474">
        <f t="shared" si="71"/>
        <v>3928.4424491820068</v>
      </c>
      <c r="CK117" s="474">
        <f t="shared" si="72"/>
        <v>47.28261432968921</v>
      </c>
      <c r="CL117" s="474">
        <f t="shared" si="73"/>
        <v>9744.373313570286</v>
      </c>
      <c r="CM117" s="576">
        <f t="shared" si="74"/>
        <v>0</v>
      </c>
    </row>
    <row r="118" spans="1:91">
      <c r="A118" s="89">
        <f>'Input data'!A138</f>
        <v>2038</v>
      </c>
      <c r="B118" s="152">
        <f>'Input data'!B138</f>
        <v>70.341572426693446</v>
      </c>
      <c r="C118" s="204">
        <f>'Input data'!C138</f>
        <v>6601.8179471225203</v>
      </c>
      <c r="D118" s="204">
        <f>'Input data'!D138</f>
        <v>36655559.518641047</v>
      </c>
      <c r="E118" s="579">
        <f t="shared" si="89"/>
        <v>1</v>
      </c>
      <c r="F118" s="100">
        <f t="shared" si="89"/>
        <v>0.37</v>
      </c>
      <c r="G118" s="475">
        <f>B118*F118*'Input data'!$C$9</f>
        <v>796.5918215756966</v>
      </c>
      <c r="H118" s="301">
        <f>'Input data'!I138</f>
        <v>424.26313389388866</v>
      </c>
      <c r="I118" s="474">
        <f>'Input data'!K138</f>
        <v>29843.335960772907</v>
      </c>
      <c r="J118" s="474">
        <f t="shared" si="91"/>
        <v>2228.8062963921584</v>
      </c>
      <c r="K118" s="475">
        <f t="shared" si="77"/>
        <v>11639.94247773166</v>
      </c>
      <c r="L118" s="100">
        <f t="shared" si="90"/>
        <v>0.7</v>
      </c>
      <c r="M118" s="100">
        <f t="shared" si="88"/>
        <v>0.6</v>
      </c>
      <c r="N118" s="100">
        <f t="shared" si="88"/>
        <v>0.9</v>
      </c>
      <c r="O118" s="100">
        <f t="shared" si="88"/>
        <v>0.9</v>
      </c>
      <c r="P118" s="100">
        <f t="shared" si="88"/>
        <v>0.23600000000000002</v>
      </c>
      <c r="Q118" s="473">
        <f t="shared" si="33"/>
        <v>319.54373102108343</v>
      </c>
      <c r="R118" s="474">
        <f t="shared" si="34"/>
        <v>222.9875470955493</v>
      </c>
      <c r="S118" s="474">
        <f t="shared" si="35"/>
        <v>652.99988347026374</v>
      </c>
      <c r="T118" s="474">
        <f t="shared" si="36"/>
        <v>439.68924343563094</v>
      </c>
      <c r="U118" s="475">
        <f t="shared" si="37"/>
        <v>0</v>
      </c>
      <c r="V118" s="474">
        <f t="shared" si="38"/>
        <v>1635.2204050225273</v>
      </c>
      <c r="W118" s="579">
        <f t="shared" si="87"/>
        <v>0.5</v>
      </c>
      <c r="X118" s="475">
        <f t="shared" si="39"/>
        <v>3033.4854703020706</v>
      </c>
      <c r="Y118" s="473">
        <f t="shared" si="78"/>
        <v>4668.7058753245983</v>
      </c>
      <c r="Z118" s="474">
        <f t="shared" si="79"/>
        <v>9200.04289879922</v>
      </c>
      <c r="AA118" s="475">
        <f t="shared" si="80"/>
        <v>6971.2366024070616</v>
      </c>
      <c r="AB118" s="938">
        <f t="shared" si="40"/>
        <v>0.75773957568360251</v>
      </c>
      <c r="AC118" s="118" t="str">
        <f t="shared" si="41"/>
        <v>Yes</v>
      </c>
      <c r="AD118" s="938">
        <f t="shared" si="42"/>
        <v>0.75773957568360251</v>
      </c>
      <c r="AE118" s="579">
        <f t="shared" si="10"/>
        <v>0.35126626747362921</v>
      </c>
      <c r="AF118" s="475">
        <f t="shared" si="43"/>
        <v>275.23380642431778</v>
      </c>
      <c r="AG118" s="474">
        <f t="shared" si="44"/>
        <v>2228.8062963921584</v>
      </c>
      <c r="AH118" s="474">
        <f t="shared" si="81"/>
        <v>9815.7133950153402</v>
      </c>
      <c r="AI118" s="474">
        <f t="shared" si="82"/>
        <v>6437.6604656145792</v>
      </c>
      <c r="AJ118" s="474">
        <f t="shared" si="11"/>
        <v>878.19857184859723</v>
      </c>
      <c r="AK118" s="474">
        <f t="shared" si="45"/>
        <v>19360.378728870674</v>
      </c>
      <c r="AL118" s="640">
        <f t="shared" si="12"/>
        <v>0</v>
      </c>
      <c r="AM118" s="100">
        <f t="shared" si="46"/>
        <v>0.11512204010082239</v>
      </c>
      <c r="AN118" s="100">
        <f t="shared" si="47"/>
        <v>0.50700007125263036</v>
      </c>
      <c r="AO118" s="100">
        <f t="shared" si="48"/>
        <v>0.33251727953103422</v>
      </c>
      <c r="AP118" s="100">
        <f t="shared" si="49"/>
        <v>4.5360609115513109E-2</v>
      </c>
      <c r="AQ118" s="100">
        <f t="shared" si="50"/>
        <v>1.0000000000000002</v>
      </c>
      <c r="AR118" s="473">
        <f t="shared" si="13"/>
        <v>482.41890912852034</v>
      </c>
      <c r="AS118" s="474">
        <f t="shared" si="14"/>
        <v>611.83768875324381</v>
      </c>
      <c r="AT118" s="474">
        <f t="shared" si="15"/>
        <v>120.81237766469563</v>
      </c>
      <c r="AU118" s="474">
        <f t="shared" si="16"/>
        <v>0</v>
      </c>
      <c r="AV118" s="474">
        <f t="shared" si="17"/>
        <v>0</v>
      </c>
      <c r="AW118" s="474">
        <f t="shared" si="18"/>
        <v>0</v>
      </c>
      <c r="AX118" s="474">
        <f t="shared" si="19"/>
        <v>843.71332525766161</v>
      </c>
      <c r="AY118" s="474">
        <f t="shared" si="20"/>
        <v>67.960652414102398</v>
      </c>
      <c r="AZ118" s="474">
        <f t="shared" si="21"/>
        <v>19.103757248708586</v>
      </c>
      <c r="BA118" s="474">
        <f t="shared" si="22"/>
        <v>49.341283838476528</v>
      </c>
      <c r="BB118" s="474">
        <f t="shared" si="23"/>
        <v>33.618302086749033</v>
      </c>
      <c r="BC118" s="475">
        <f t="shared" si="51"/>
        <v>2228.8062963921575</v>
      </c>
      <c r="BD118" s="647">
        <f t="shared" si="52"/>
        <v>0</v>
      </c>
      <c r="BE118" s="383">
        <f t="shared" si="53"/>
        <v>0.21644721208362872</v>
      </c>
      <c r="BF118" s="383">
        <f t="shared" si="54"/>
        <v>0.27451362181794159</v>
      </c>
      <c r="BG118" s="383">
        <f t="shared" si="55"/>
        <v>5.4204969655846105E-2</v>
      </c>
      <c r="BH118" s="383">
        <f t="shared" si="56"/>
        <v>0</v>
      </c>
      <c r="BI118" s="383">
        <f t="shared" si="57"/>
        <v>0</v>
      </c>
      <c r="BJ118" s="383">
        <f t="shared" si="58"/>
        <v>0</v>
      </c>
      <c r="BK118" s="383">
        <f t="shared" si="59"/>
        <v>0.45483419644258377</v>
      </c>
      <c r="BL118" s="383">
        <f t="shared" si="60"/>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90.618980377352798</v>
      </c>
      <c r="BW118" s="100">
        <f t="shared" si="63"/>
        <v>0.7327034368880373</v>
      </c>
      <c r="BX118" s="1385">
        <f t="shared" si="24"/>
        <v>36.655559518641049</v>
      </c>
      <c r="BY118" s="473">
        <f t="shared" si="64"/>
        <v>90.618980377352798</v>
      </c>
      <c r="BZ118" s="100">
        <f t="shared" si="65"/>
        <v>0.7327034368880373</v>
      </c>
      <c r="CA118" s="489">
        <f t="shared" si="25"/>
        <v>36.655559518641049</v>
      </c>
      <c r="CB118" s="579">
        <f t="shared" si="26"/>
        <v>0.35126626747362921</v>
      </c>
      <c r="CC118" s="471">
        <f t="shared" si="66"/>
        <v>0.38613740663076912</v>
      </c>
      <c r="CD118" s="100">
        <f t="shared" si="27"/>
        <v>0.35126626747362921</v>
      </c>
      <c r="CE118" s="471">
        <f t="shared" si="67"/>
        <v>0.38613740663076912</v>
      </c>
      <c r="CG118" s="473">
        <f t="shared" si="68"/>
        <v>1864.0050976229863</v>
      </c>
      <c r="CH118" s="474">
        <f t="shared" si="69"/>
        <v>820.81305679343336</v>
      </c>
      <c r="CI118" s="474">
        <f t="shared" si="70"/>
        <v>3126.0632719321143</v>
      </c>
      <c r="CJ118" s="474">
        <f t="shared" si="71"/>
        <v>3957.2031909206844</v>
      </c>
      <c r="CK118" s="474">
        <f t="shared" si="72"/>
        <v>47.628777746121287</v>
      </c>
      <c r="CL118" s="474">
        <f t="shared" si="73"/>
        <v>9815.7133950153402</v>
      </c>
      <c r="CM118" s="576">
        <f t="shared" si="74"/>
        <v>0</v>
      </c>
    </row>
    <row r="119" spans="1:91">
      <c r="A119" s="89">
        <f>'Input data'!A139</f>
        <v>2039</v>
      </c>
      <c r="B119" s="152">
        <f>'Input data'!B139</f>
        <v>70.856554082712819</v>
      </c>
      <c r="C119" s="204">
        <f>'Input data'!C139</f>
        <v>6791.0078131349956</v>
      </c>
      <c r="D119" s="204">
        <f>'Input data'!D139</f>
        <v>34985996.186898179</v>
      </c>
      <c r="E119" s="579">
        <f t="shared" si="89"/>
        <v>1</v>
      </c>
      <c r="F119" s="100">
        <f t="shared" si="89"/>
        <v>0.37</v>
      </c>
      <c r="G119" s="475">
        <f>B119*F119*'Input data'!$C$9</f>
        <v>802.42379492081989</v>
      </c>
      <c r="H119" s="301">
        <f>'Input data'!I139</f>
        <v>424.26313389388866</v>
      </c>
      <c r="I119" s="474">
        <f>'Input data'!K139</f>
        <v>30061.823692053553</v>
      </c>
      <c r="J119" s="474">
        <f t="shared" si="91"/>
        <v>2228.8062963921584</v>
      </c>
      <c r="K119" s="475">
        <f t="shared" si="77"/>
        <v>11741.477757143535</v>
      </c>
      <c r="L119" s="100">
        <f t="shared" si="90"/>
        <v>0.7</v>
      </c>
      <c r="M119" s="100">
        <f t="shared" si="88"/>
        <v>0.6</v>
      </c>
      <c r="N119" s="100">
        <f t="shared" si="88"/>
        <v>0.9</v>
      </c>
      <c r="O119" s="100">
        <f t="shared" si="88"/>
        <v>0.9</v>
      </c>
      <c r="P119" s="100">
        <f t="shared" si="88"/>
        <v>0.23600000000000002</v>
      </c>
      <c r="Q119" s="473">
        <f t="shared" si="33"/>
        <v>321.88316066552784</v>
      </c>
      <c r="R119" s="474">
        <f t="shared" si="34"/>
        <v>224.62007381215983</v>
      </c>
      <c r="S119" s="474">
        <f t="shared" si="35"/>
        <v>657.78059777289627</v>
      </c>
      <c r="T119" s="474">
        <f t="shared" si="36"/>
        <v>442.90827717210823</v>
      </c>
      <c r="U119" s="475">
        <f t="shared" si="37"/>
        <v>0</v>
      </c>
      <c r="V119" s="474">
        <f t="shared" si="38"/>
        <v>1647.1921094226923</v>
      </c>
      <c r="W119" s="579">
        <f t="shared" si="87"/>
        <v>0.5</v>
      </c>
      <c r="X119" s="475">
        <f t="shared" si="39"/>
        <v>3033.4854703020706</v>
      </c>
      <c r="Y119" s="473">
        <f t="shared" si="78"/>
        <v>4680.6775797247628</v>
      </c>
      <c r="Z119" s="474">
        <f t="shared" si="79"/>
        <v>9289.6064738109308</v>
      </c>
      <c r="AA119" s="475">
        <f t="shared" si="80"/>
        <v>7060.8001774187724</v>
      </c>
      <c r="AB119" s="938">
        <f t="shared" si="40"/>
        <v>0.76007527308335787</v>
      </c>
      <c r="AC119" s="118" t="str">
        <f t="shared" si="41"/>
        <v>Yes</v>
      </c>
      <c r="AD119" s="938">
        <f t="shared" si="42"/>
        <v>0.76007527308335787</v>
      </c>
      <c r="AE119" s="579">
        <f t="shared" si="10"/>
        <v>0.35366058307858594</v>
      </c>
      <c r="AF119" s="475">
        <f t="shared" si="43"/>
        <v>274.21798658222781</v>
      </c>
      <c r="AG119" s="474">
        <f t="shared" si="44"/>
        <v>2228.8062963921584</v>
      </c>
      <c r="AH119" s="474">
        <f t="shared" si="81"/>
        <v>9887.5757683571446</v>
      </c>
      <c r="AI119" s="474">
        <f t="shared" si="82"/>
        <v>6437.6604656145792</v>
      </c>
      <c r="AJ119" s="474">
        <f t="shared" si="11"/>
        <v>876.09906635235745</v>
      </c>
      <c r="AK119" s="474">
        <f t="shared" si="45"/>
        <v>19430.141596716243</v>
      </c>
      <c r="AL119" s="640">
        <f t="shared" si="12"/>
        <v>0</v>
      </c>
      <c r="AM119" s="100">
        <f t="shared" si="46"/>
        <v>0.11470870066993408</v>
      </c>
      <c r="AN119" s="100">
        <f t="shared" si="47"/>
        <v>0.50887821476443473</v>
      </c>
      <c r="AO119" s="100">
        <f t="shared" si="48"/>
        <v>0.33132339430313595</v>
      </c>
      <c r="AP119" s="100">
        <f t="shared" si="49"/>
        <v>4.5089690262495104E-2</v>
      </c>
      <c r="AQ119" s="100">
        <f t="shared" si="50"/>
        <v>0.99999999999999989</v>
      </c>
      <c r="AR119" s="473">
        <f t="shared" si="13"/>
        <v>483.61469374641342</v>
      </c>
      <c r="AS119" s="474">
        <f t="shared" si="14"/>
        <v>613.35426715225412</v>
      </c>
      <c r="AT119" s="474">
        <f t="shared" si="15"/>
        <v>120.52355204022797</v>
      </c>
      <c r="AU119" s="474">
        <f t="shared" si="16"/>
        <v>0</v>
      </c>
      <c r="AV119" s="474">
        <f t="shared" si="17"/>
        <v>0</v>
      </c>
      <c r="AW119" s="474">
        <f t="shared" si="18"/>
        <v>0</v>
      </c>
      <c r="AX119" s="474">
        <f t="shared" si="19"/>
        <v>841.69626349007024</v>
      </c>
      <c r="AY119" s="474">
        <f t="shared" si="20"/>
        <v>67.798179178725647</v>
      </c>
      <c r="AZ119" s="474">
        <f t="shared" si="21"/>
        <v>19.058085979558189</v>
      </c>
      <c r="BA119" s="474">
        <f t="shared" si="22"/>
        <v>49.223323846361851</v>
      </c>
      <c r="BB119" s="474">
        <f t="shared" si="23"/>
        <v>33.53793095854644</v>
      </c>
      <c r="BC119" s="475">
        <f t="shared" si="51"/>
        <v>2228.8062963921579</v>
      </c>
      <c r="BD119" s="647">
        <f t="shared" si="52"/>
        <v>0</v>
      </c>
      <c r="BE119" s="383">
        <f t="shared" si="53"/>
        <v>0.21698372556164097</v>
      </c>
      <c r="BF119" s="383">
        <f t="shared" si="54"/>
        <v>0.27519406605460101</v>
      </c>
      <c r="BG119" s="383">
        <f t="shared" si="55"/>
        <v>5.4075382071256443E-2</v>
      </c>
      <c r="BH119" s="383">
        <f t="shared" si="56"/>
        <v>0</v>
      </c>
      <c r="BI119" s="383">
        <f t="shared" si="57"/>
        <v>0</v>
      </c>
      <c r="BJ119" s="383">
        <f t="shared" si="58"/>
        <v>0</v>
      </c>
      <c r="BK119" s="383">
        <f t="shared" si="59"/>
        <v>0.45374682631250152</v>
      </c>
      <c r="BL119" s="383">
        <f t="shared" si="60"/>
        <v>0.99999999999999989</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89.98925965194293</v>
      </c>
      <c r="BW119" s="100">
        <f t="shared" si="63"/>
        <v>0.74196471780807993</v>
      </c>
      <c r="BX119" s="1385">
        <f t="shared" si="24"/>
        <v>34.985996186898177</v>
      </c>
      <c r="BY119" s="473">
        <f t="shared" si="64"/>
        <v>89.98925965194293</v>
      </c>
      <c r="BZ119" s="100">
        <f t="shared" si="65"/>
        <v>0.74196471780807993</v>
      </c>
      <c r="CA119" s="489">
        <f t="shared" si="25"/>
        <v>34.985996186898177</v>
      </c>
      <c r="CB119" s="579">
        <f t="shared" si="26"/>
        <v>0.35366058307858594</v>
      </c>
      <c r="CC119" s="471">
        <f t="shared" si="66"/>
        <v>0.39532290274769877</v>
      </c>
      <c r="CD119" s="100">
        <f t="shared" si="27"/>
        <v>0.35366058307858594</v>
      </c>
      <c r="CE119" s="471">
        <f t="shared" si="67"/>
        <v>0.39532290274769877</v>
      </c>
      <c r="CG119" s="473">
        <f t="shared" si="68"/>
        <v>1877.6517705489127</v>
      </c>
      <c r="CH119" s="474">
        <f t="shared" si="69"/>
        <v>826.82235759077241</v>
      </c>
      <c r="CI119" s="474">
        <f t="shared" si="70"/>
        <v>3148.9496701893991</v>
      </c>
      <c r="CJ119" s="474">
        <f t="shared" si="71"/>
        <v>3986.17449454898</v>
      </c>
      <c r="CK119" s="474">
        <f t="shared" si="72"/>
        <v>47.977475479079111</v>
      </c>
      <c r="CL119" s="474">
        <f t="shared" si="73"/>
        <v>9887.5757683571446</v>
      </c>
      <c r="CM119" s="576">
        <f t="shared" si="74"/>
        <v>0</v>
      </c>
    </row>
    <row r="120" spans="1:91">
      <c r="A120" s="89">
        <f>'Input data'!A140</f>
        <v>2040</v>
      </c>
      <c r="B120" s="152">
        <f>'Input data'!B140</f>
        <v>71.375305999999995</v>
      </c>
      <c r="C120" s="204">
        <f>'Input data'!C140</f>
        <v>6984.5262976576987</v>
      </c>
      <c r="D120" s="204">
        <f>'Input data'!D140</f>
        <v>33316432.855155304</v>
      </c>
      <c r="E120" s="579">
        <f t="shared" si="89"/>
        <v>1</v>
      </c>
      <c r="F120" s="100">
        <f t="shared" si="89"/>
        <v>0.37</v>
      </c>
      <c r="G120" s="475">
        <f>B120*F120*'Input data'!$C$9</f>
        <v>808.29846505516082</v>
      </c>
      <c r="H120" s="301">
        <f>'Input data'!I140</f>
        <v>424.26313389388866</v>
      </c>
      <c r="I120" s="474">
        <f>'Input data'!K140</f>
        <v>30281.911006195274</v>
      </c>
      <c r="J120" s="474">
        <f t="shared" si="91"/>
        <v>2228.8062963921584</v>
      </c>
      <c r="K120" s="475">
        <f t="shared" si="77"/>
        <v>11843.756392220233</v>
      </c>
      <c r="L120" s="100">
        <f t="shared" si="90"/>
        <v>0.7</v>
      </c>
      <c r="M120" s="100">
        <f t="shared" si="88"/>
        <v>0.6</v>
      </c>
      <c r="N120" s="100">
        <f t="shared" si="88"/>
        <v>0.9</v>
      </c>
      <c r="O120" s="100">
        <f t="shared" si="88"/>
        <v>0.9</v>
      </c>
      <c r="P120" s="100">
        <f t="shared" si="88"/>
        <v>0.23600000000000002</v>
      </c>
      <c r="Q120" s="473">
        <f t="shared" si="33"/>
        <v>324.23971764038129</v>
      </c>
      <c r="R120" s="474">
        <f t="shared" si="34"/>
        <v>226.26455251225605</v>
      </c>
      <c r="S120" s="474">
        <f t="shared" si="35"/>
        <v>662.59631243283729</v>
      </c>
      <c r="T120" s="474">
        <f t="shared" si="36"/>
        <v>446.15087795815862</v>
      </c>
      <c r="U120" s="475">
        <f t="shared" si="37"/>
        <v>0</v>
      </c>
      <c r="V120" s="474">
        <f t="shared" si="38"/>
        <v>1659.2514605436331</v>
      </c>
      <c r="W120" s="579">
        <f t="shared" si="87"/>
        <v>0.5</v>
      </c>
      <c r="X120" s="475">
        <f t="shared" si="39"/>
        <v>3033.4854703020706</v>
      </c>
      <c r="Y120" s="473">
        <f t="shared" si="78"/>
        <v>4692.7369308457037</v>
      </c>
      <c r="Z120" s="474">
        <f t="shared" si="79"/>
        <v>9379.8257577666882</v>
      </c>
      <c r="AA120" s="475">
        <f t="shared" si="80"/>
        <v>7151.0194613745298</v>
      </c>
      <c r="AB120" s="938">
        <f t="shared" si="40"/>
        <v>0.762382974486849</v>
      </c>
      <c r="AC120" s="118" t="str">
        <f t="shared" si="41"/>
        <v>Yes</v>
      </c>
      <c r="AD120" s="938">
        <f t="shared" si="42"/>
        <v>0.762382974486849</v>
      </c>
      <c r="AE120" s="579">
        <f t="shared" si="10"/>
        <v>0.3560361583119136</v>
      </c>
      <c r="AF120" s="475">
        <f t="shared" si="43"/>
        <v>273.21011758893553</v>
      </c>
      <c r="AG120" s="474">
        <f t="shared" si="44"/>
        <v>2228.8062963921584</v>
      </c>
      <c r="AH120" s="474">
        <f t="shared" si="81"/>
        <v>9959.9642573763831</v>
      </c>
      <c r="AI120" s="474">
        <f t="shared" si="82"/>
        <v>6437.6604656145792</v>
      </c>
      <c r="AJ120" s="474">
        <f t="shared" si="11"/>
        <v>874.0247258231359</v>
      </c>
      <c r="AK120" s="474">
        <f t="shared" si="45"/>
        <v>19500.455745206255</v>
      </c>
      <c r="AL120" s="640">
        <f t="shared" si="12"/>
        <v>0</v>
      </c>
      <c r="AM120" s="100">
        <f t="shared" si="46"/>
        <v>0.11429508753609822</v>
      </c>
      <c r="AN120" s="100">
        <f t="shared" si="47"/>
        <v>0.51075546066787769</v>
      </c>
      <c r="AO120" s="100">
        <f t="shared" si="48"/>
        <v>0.33012871851454711</v>
      </c>
      <c r="AP120" s="100">
        <f t="shared" si="49"/>
        <v>4.4820733281477031E-2</v>
      </c>
      <c r="AQ120" s="100">
        <f t="shared" si="50"/>
        <v>1</v>
      </c>
      <c r="AR120" s="473">
        <f t="shared" si="13"/>
        <v>484.79614552234727</v>
      </c>
      <c r="AS120" s="474">
        <f t="shared" si="14"/>
        <v>614.85266763010145</v>
      </c>
      <c r="AT120" s="474">
        <f t="shared" si="15"/>
        <v>120.23818832015957</v>
      </c>
      <c r="AU120" s="474">
        <f t="shared" si="16"/>
        <v>0</v>
      </c>
      <c r="AV120" s="474">
        <f t="shared" si="17"/>
        <v>0</v>
      </c>
      <c r="AW120" s="474">
        <f t="shared" si="18"/>
        <v>0</v>
      </c>
      <c r="AX120" s="474">
        <f t="shared" si="19"/>
        <v>839.70337850741521</v>
      </c>
      <c r="AY120" s="474">
        <f t="shared" si="20"/>
        <v>67.637653370310673</v>
      </c>
      <c r="AZ120" s="474">
        <f t="shared" si="21"/>
        <v>19.012962132638126</v>
      </c>
      <c r="BA120" s="474">
        <f t="shared" si="22"/>
        <v>49.10677773923868</v>
      </c>
      <c r="BB120" s="474">
        <f t="shared" si="23"/>
        <v>33.45852316994646</v>
      </c>
      <c r="BC120" s="475">
        <f t="shared" si="51"/>
        <v>2228.8062963921575</v>
      </c>
      <c r="BD120" s="647">
        <f t="shared" si="52"/>
        <v>0</v>
      </c>
      <c r="BE120" s="383">
        <f t="shared" si="53"/>
        <v>0.21751380831394043</v>
      </c>
      <c r="BF120" s="383">
        <f t="shared" si="54"/>
        <v>0.27586635439130974</v>
      </c>
      <c r="BG120" s="383">
        <f t="shared" si="55"/>
        <v>5.3947347741610877E-2</v>
      </c>
      <c r="BH120" s="383">
        <f t="shared" si="56"/>
        <v>0</v>
      </c>
      <c r="BI120" s="383">
        <f t="shared" si="57"/>
        <v>0</v>
      </c>
      <c r="BJ120" s="383">
        <f t="shared" si="58"/>
        <v>0</v>
      </c>
      <c r="BK120" s="383">
        <f t="shared" si="59"/>
        <v>0.45267248955313888</v>
      </c>
      <c r="BL120" s="383">
        <f t="shared" si="60"/>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89.382285397654201</v>
      </c>
      <c r="BW120" s="100">
        <f t="shared" si="63"/>
        <v>0.75141980415206011</v>
      </c>
      <c r="BX120" s="1385">
        <f t="shared" si="24"/>
        <v>33.316432855155306</v>
      </c>
      <c r="BY120" s="473">
        <f t="shared" si="64"/>
        <v>89.382285397654201</v>
      </c>
      <c r="BZ120" s="100">
        <f t="shared" si="65"/>
        <v>0.75141980415206011</v>
      </c>
      <c r="CA120" s="489">
        <f t="shared" si="25"/>
        <v>33.316432855155306</v>
      </c>
      <c r="CB120" s="579">
        <f t="shared" si="26"/>
        <v>0.3560361583119136</v>
      </c>
      <c r="CC120" s="471">
        <f t="shared" si="66"/>
        <v>0.4044885695009669</v>
      </c>
      <c r="CD120" s="100">
        <f t="shared" si="27"/>
        <v>0.3560361583119136</v>
      </c>
      <c r="CE120" s="471">
        <f t="shared" si="67"/>
        <v>0.4044885695009669</v>
      </c>
      <c r="CG120" s="473">
        <f t="shared" si="68"/>
        <v>1891.3983529022248</v>
      </c>
      <c r="CH120" s="474">
        <f t="shared" si="69"/>
        <v>832.87565341934783</v>
      </c>
      <c r="CI120" s="474">
        <f t="shared" si="70"/>
        <v>3172.003623348689</v>
      </c>
      <c r="CJ120" s="474">
        <f t="shared" si="71"/>
        <v>4015.3579016234294</v>
      </c>
      <c r="CK120" s="474">
        <f t="shared" si="72"/>
        <v>48.328726082690423</v>
      </c>
      <c r="CL120" s="474">
        <f t="shared" si="73"/>
        <v>9959.9642573763813</v>
      </c>
      <c r="CM120" s="576">
        <f t="shared" si="74"/>
        <v>0</v>
      </c>
    </row>
    <row r="121" spans="1:91">
      <c r="A121" s="89">
        <f>'Input data'!A141</f>
        <v>2041</v>
      </c>
      <c r="B121" s="152">
        <f>'Input data'!B141</f>
        <v>71.818612994947316</v>
      </c>
      <c r="C121" s="204">
        <f>'Input data'!C141</f>
        <v>7185.3982187188903</v>
      </c>
      <c r="D121" s="204">
        <f>'Input data'!D141</f>
        <v>30696987.018642712</v>
      </c>
      <c r="E121" s="579">
        <f t="shared" si="89"/>
        <v>1</v>
      </c>
      <c r="F121" s="100">
        <f t="shared" si="89"/>
        <v>0.37</v>
      </c>
      <c r="G121" s="475">
        <f>B121*F121*'Input data'!$C$9</f>
        <v>813.31874985175614</v>
      </c>
      <c r="H121" s="301">
        <f>'Input data'!I141</f>
        <v>424.26313389388866</v>
      </c>
      <c r="I121" s="474">
        <f>'Input data'!K141</f>
        <v>30469.989821148705</v>
      </c>
      <c r="J121" s="474">
        <f t="shared" si="91"/>
        <v>2228.8062963921584</v>
      </c>
      <c r="K121" s="475">
        <f t="shared" si="77"/>
        <v>11931.16008722781</v>
      </c>
      <c r="L121" s="100">
        <f t="shared" si="90"/>
        <v>0.7</v>
      </c>
      <c r="M121" s="100">
        <f t="shared" si="88"/>
        <v>0.6</v>
      </c>
      <c r="N121" s="100">
        <f t="shared" si="88"/>
        <v>0.9</v>
      </c>
      <c r="O121" s="100">
        <f t="shared" si="88"/>
        <v>0.9</v>
      </c>
      <c r="P121" s="100">
        <f t="shared" si="88"/>
        <v>0.23600000000000002</v>
      </c>
      <c r="Q121" s="473">
        <f t="shared" si="33"/>
        <v>326.25354767383487</v>
      </c>
      <c r="R121" s="474">
        <f t="shared" si="34"/>
        <v>227.6698657005079</v>
      </c>
      <c r="S121" s="474">
        <f t="shared" si="35"/>
        <v>666.71165142876043</v>
      </c>
      <c r="T121" s="474">
        <f t="shared" si="36"/>
        <v>448.92188961589818</v>
      </c>
      <c r="U121" s="475">
        <f t="shared" si="37"/>
        <v>0</v>
      </c>
      <c r="V121" s="474">
        <f t="shared" si="38"/>
        <v>1669.5569544190014</v>
      </c>
      <c r="W121" s="579">
        <f t="shared" si="87"/>
        <v>0.5</v>
      </c>
      <c r="X121" s="475">
        <f t="shared" si="39"/>
        <v>3033.4854703020706</v>
      </c>
      <c r="Y121" s="473">
        <f t="shared" si="78"/>
        <v>4703.0424247210722</v>
      </c>
      <c r="Z121" s="474">
        <f t="shared" si="79"/>
        <v>9456.9239588988967</v>
      </c>
      <c r="AA121" s="475">
        <f t="shared" si="80"/>
        <v>7228.1176625067383</v>
      </c>
      <c r="AB121" s="938">
        <f t="shared" si="40"/>
        <v>0.76432016308063178</v>
      </c>
      <c r="AC121" s="118" t="str">
        <f t="shared" si="41"/>
        <v>Yes</v>
      </c>
      <c r="AD121" s="938">
        <f t="shared" si="42"/>
        <v>0.76432016308063178</v>
      </c>
      <c r="AE121" s="579">
        <f t="shared" si="10"/>
        <v>0.35803801704304605</v>
      </c>
      <c r="AF121" s="475">
        <f t="shared" si="43"/>
        <v>272.36080273005246</v>
      </c>
      <c r="AG121" s="474">
        <f t="shared" si="44"/>
        <v>2228.8062963921584</v>
      </c>
      <c r="AH121" s="474">
        <f t="shared" si="81"/>
        <v>10021.82489338851</v>
      </c>
      <c r="AI121" s="474">
        <f t="shared" si="82"/>
        <v>6437.6604656145792</v>
      </c>
      <c r="AJ121" s="474">
        <f t="shared" si="11"/>
        <v>872.2834308675798</v>
      </c>
      <c r="AK121" s="474">
        <f t="shared" si="45"/>
        <v>19560.575086262827</v>
      </c>
      <c r="AL121" s="640">
        <f t="shared" si="12"/>
        <v>0</v>
      </c>
      <c r="AM121" s="100">
        <f t="shared" si="46"/>
        <v>0.11394380208981811</v>
      </c>
      <c r="AN121" s="100">
        <f t="shared" si="47"/>
        <v>0.51234817223889928</v>
      </c>
      <c r="AO121" s="100">
        <f t="shared" si="48"/>
        <v>0.32911406935758636</v>
      </c>
      <c r="AP121" s="100">
        <f t="shared" si="49"/>
        <v>4.4593956313696254E-2</v>
      </c>
      <c r="AQ121" s="100">
        <f t="shared" si="50"/>
        <v>1</v>
      </c>
      <c r="AR121" s="473">
        <f t="shared" si="13"/>
        <v>485.78790940522276</v>
      </c>
      <c r="AS121" s="474">
        <f t="shared" si="14"/>
        <v>616.11049254203056</v>
      </c>
      <c r="AT121" s="474">
        <f t="shared" si="15"/>
        <v>119.9986411487795</v>
      </c>
      <c r="AU121" s="474">
        <f t="shared" si="16"/>
        <v>0</v>
      </c>
      <c r="AV121" s="474">
        <f t="shared" si="17"/>
        <v>0</v>
      </c>
      <c r="AW121" s="474">
        <f t="shared" si="18"/>
        <v>0</v>
      </c>
      <c r="AX121" s="474">
        <f t="shared" si="19"/>
        <v>838.03046100982215</v>
      </c>
      <c r="AY121" s="474">
        <f t="shared" si="20"/>
        <v>67.502900769909758</v>
      </c>
      <c r="AZ121" s="474">
        <f t="shared" si="21"/>
        <v>18.97508314126237</v>
      </c>
      <c r="BA121" s="474">
        <f t="shared" si="22"/>
        <v>49.008943682793195</v>
      </c>
      <c r="BB121" s="474">
        <f t="shared" si="23"/>
        <v>33.391864692337244</v>
      </c>
      <c r="BC121" s="475">
        <f t="shared" si="51"/>
        <v>2228.8062963921579</v>
      </c>
      <c r="BD121" s="647">
        <f t="shared" si="52"/>
        <v>0</v>
      </c>
      <c r="BE121" s="383">
        <f t="shared" si="53"/>
        <v>0.2179587836733877</v>
      </c>
      <c r="BF121" s="383">
        <f t="shared" si="54"/>
        <v>0.276430703529216</v>
      </c>
      <c r="BG121" s="383">
        <f t="shared" si="55"/>
        <v>5.3839869953268366E-2</v>
      </c>
      <c r="BH121" s="383">
        <f t="shared" si="56"/>
        <v>0</v>
      </c>
      <c r="BI121" s="383">
        <f t="shared" si="57"/>
        <v>0</v>
      </c>
      <c r="BJ121" s="383">
        <f t="shared" si="58"/>
        <v>0</v>
      </c>
      <c r="BK121" s="383">
        <f t="shared" si="59"/>
        <v>0.45177064284412771</v>
      </c>
      <c r="BL121" s="383">
        <f t="shared" si="60"/>
        <v>0.99999999999999978</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87.852938915185021</v>
      </c>
      <c r="BW121" s="100">
        <f t="shared" si="63"/>
        <v>0.76498226738310005</v>
      </c>
      <c r="BX121" s="1385">
        <f t="shared" si="24"/>
        <v>30.696987018642712</v>
      </c>
      <c r="BY121" s="473">
        <f t="shared" si="64"/>
        <v>87.852938915185021</v>
      </c>
      <c r="BZ121" s="100">
        <f t="shared" si="65"/>
        <v>0.76498226738310005</v>
      </c>
      <c r="CA121" s="489">
        <f t="shared" si="25"/>
        <v>30.696987018642712</v>
      </c>
      <c r="CB121" s="579">
        <f t="shared" si="26"/>
        <v>0.35803801704304605</v>
      </c>
      <c r="CC121" s="471">
        <f t="shared" si="66"/>
        <v>0.41702627838995165</v>
      </c>
      <c r="CD121" s="100">
        <f t="shared" si="27"/>
        <v>0.35803801704304605</v>
      </c>
      <c r="CE121" s="471">
        <f t="shared" si="67"/>
        <v>0.41702627838995165</v>
      </c>
      <c r="CG121" s="473">
        <f t="shared" si="68"/>
        <v>1903.1456947640361</v>
      </c>
      <c r="CH121" s="474">
        <f t="shared" si="69"/>
        <v>838.04858540064276</v>
      </c>
      <c r="CI121" s="474">
        <f t="shared" si="70"/>
        <v>3191.7047142866213</v>
      </c>
      <c r="CJ121" s="474">
        <f t="shared" si="71"/>
        <v>4040.2970065430868</v>
      </c>
      <c r="CK121" s="474">
        <f t="shared" si="72"/>
        <v>48.628892394122417</v>
      </c>
      <c r="CL121" s="474">
        <f t="shared" si="73"/>
        <v>10021.82489338851</v>
      </c>
      <c r="CM121" s="576">
        <f t="shared" si="74"/>
        <v>0</v>
      </c>
    </row>
    <row r="122" spans="1:91">
      <c r="A122" s="89">
        <f>'Input data'!A142</f>
        <v>2042</v>
      </c>
      <c r="B122" s="152">
        <f>'Input data'!B142</f>
        <v>72.264673338395411</v>
      </c>
      <c r="C122" s="204">
        <f>'Input data'!C142</f>
        <v>7378.5415978844649</v>
      </c>
      <c r="D122" s="204">
        <f>'Input data'!D142</f>
        <v>28077541.182130113</v>
      </c>
      <c r="E122" s="579">
        <f t="shared" si="89"/>
        <v>1</v>
      </c>
      <c r="F122" s="100">
        <f t="shared" si="89"/>
        <v>0.37</v>
      </c>
      <c r="G122" s="475">
        <f>B122*F122*'Input data'!$C$9</f>
        <v>818.37021528338698</v>
      </c>
      <c r="H122" s="301">
        <f>'Input data'!I142</f>
        <v>424.26313389388866</v>
      </c>
      <c r="I122" s="474">
        <f>'Input data'!K142</f>
        <v>30659.23678036578</v>
      </c>
      <c r="J122" s="474">
        <f t="shared" si="91"/>
        <v>2228.8062963921584</v>
      </c>
      <c r="K122" s="475">
        <f t="shared" si="77"/>
        <v>12019.106640424758</v>
      </c>
      <c r="L122" s="100">
        <f t="shared" si="90"/>
        <v>0.7</v>
      </c>
      <c r="M122" s="100">
        <f t="shared" si="88"/>
        <v>0.6</v>
      </c>
      <c r="N122" s="100">
        <f t="shared" si="88"/>
        <v>0.9</v>
      </c>
      <c r="O122" s="100">
        <f t="shared" si="88"/>
        <v>0.9</v>
      </c>
      <c r="P122" s="100">
        <f t="shared" si="88"/>
        <v>0.23600000000000002</v>
      </c>
      <c r="Q122" s="473">
        <f t="shared" si="33"/>
        <v>328.27988546368874</v>
      </c>
      <c r="R122" s="474">
        <f t="shared" si="34"/>
        <v>229.08390718992371</v>
      </c>
      <c r="S122" s="474">
        <f t="shared" si="35"/>
        <v>670.85255050513342</v>
      </c>
      <c r="T122" s="474">
        <f t="shared" si="36"/>
        <v>451.7101118317396</v>
      </c>
      <c r="U122" s="475">
        <f t="shared" si="37"/>
        <v>0</v>
      </c>
      <c r="V122" s="474">
        <f t="shared" si="38"/>
        <v>1679.9264549904856</v>
      </c>
      <c r="W122" s="579">
        <f t="shared" si="87"/>
        <v>0.5</v>
      </c>
      <c r="X122" s="475">
        <f t="shared" si="39"/>
        <v>3033.4854703020706</v>
      </c>
      <c r="Y122" s="473">
        <f t="shared" si="78"/>
        <v>4713.4119252925557</v>
      </c>
      <c r="Z122" s="474">
        <f t="shared" si="79"/>
        <v>9534.5010115243604</v>
      </c>
      <c r="AA122" s="475">
        <f t="shared" si="80"/>
        <v>7305.694715132202</v>
      </c>
      <c r="AB122" s="938">
        <f t="shared" si="40"/>
        <v>0.76623776181908232</v>
      </c>
      <c r="AC122" s="118" t="str">
        <f t="shared" si="41"/>
        <v>Yes</v>
      </c>
      <c r="AD122" s="938">
        <f t="shared" si="42"/>
        <v>0.76623776181908232</v>
      </c>
      <c r="AE122" s="579">
        <f t="shared" si="10"/>
        <v>0.36002659202487586</v>
      </c>
      <c r="AF122" s="475">
        <f t="shared" si="43"/>
        <v>271.51712367627835</v>
      </c>
      <c r="AG122" s="474">
        <f t="shared" si="44"/>
        <v>2228.8062963921584</v>
      </c>
      <c r="AH122" s="474">
        <f t="shared" si="81"/>
        <v>10084.069741450892</v>
      </c>
      <c r="AI122" s="474">
        <f t="shared" si="82"/>
        <v>6437.6604656145792</v>
      </c>
      <c r="AJ122" s="474">
        <f t="shared" si="11"/>
        <v>870.55974478933149</v>
      </c>
      <c r="AK122" s="474">
        <f t="shared" si="45"/>
        <v>19621.096248246962</v>
      </c>
      <c r="AL122" s="640">
        <f t="shared" si="12"/>
        <v>0</v>
      </c>
      <c r="AM122" s="100">
        <f t="shared" si="46"/>
        <v>0.11359234306754344</v>
      </c>
      <c r="AN122" s="100">
        <f t="shared" si="47"/>
        <v>0.51394018019517385</v>
      </c>
      <c r="AO122" s="100">
        <f t="shared" si="48"/>
        <v>0.32809891884556391</v>
      </c>
      <c r="AP122" s="100">
        <f t="shared" si="49"/>
        <v>4.4368557891718778E-2</v>
      </c>
      <c r="AQ122" s="100">
        <f t="shared" si="50"/>
        <v>1</v>
      </c>
      <c r="AR122" s="473">
        <f t="shared" si="13"/>
        <v>486.76964405756706</v>
      </c>
      <c r="AS122" s="474">
        <f t="shared" si="14"/>
        <v>617.35559767637187</v>
      </c>
      <c r="AT122" s="474">
        <f t="shared" si="15"/>
        <v>119.76151640258189</v>
      </c>
      <c r="AU122" s="474">
        <f t="shared" si="16"/>
        <v>0</v>
      </c>
      <c r="AV122" s="474">
        <f t="shared" si="17"/>
        <v>0</v>
      </c>
      <c r="AW122" s="474">
        <f t="shared" si="18"/>
        <v>0</v>
      </c>
      <c r="AX122" s="474">
        <f t="shared" si="19"/>
        <v>836.374460921234</v>
      </c>
      <c r="AY122" s="474">
        <f t="shared" si="20"/>
        <v>67.369510857662121</v>
      </c>
      <c r="AZ122" s="474">
        <f t="shared" si="21"/>
        <v>18.937587201884394</v>
      </c>
      <c r="BA122" s="474">
        <f t="shared" si="22"/>
        <v>48.912098975045339</v>
      </c>
      <c r="BB122" s="474">
        <f t="shared" si="23"/>
        <v>33.325880299810507</v>
      </c>
      <c r="BC122" s="475">
        <f t="shared" si="51"/>
        <v>2228.8062963921575</v>
      </c>
      <c r="BD122" s="647">
        <f t="shared" si="52"/>
        <v>0</v>
      </c>
      <c r="BE122" s="383">
        <f t="shared" si="53"/>
        <v>0.21839925921131736</v>
      </c>
      <c r="BF122" s="383">
        <f t="shared" si="54"/>
        <v>0.27698934567607147</v>
      </c>
      <c r="BG122" s="383">
        <f t="shared" si="55"/>
        <v>5.373347903603997E-2</v>
      </c>
      <c r="BH122" s="383">
        <f t="shared" si="56"/>
        <v>0</v>
      </c>
      <c r="BI122" s="383">
        <f t="shared" si="57"/>
        <v>0</v>
      </c>
      <c r="BJ122" s="383">
        <f t="shared" si="58"/>
        <v>0</v>
      </c>
      <c r="BK122" s="383">
        <f t="shared" si="59"/>
        <v>0.45087791607657107</v>
      </c>
      <c r="BL122" s="383">
        <f t="shared" si="60"/>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86.284365799651582</v>
      </c>
      <c r="BW122" s="100">
        <f t="shared" si="63"/>
        <v>0.77892482805097885</v>
      </c>
      <c r="BX122" s="1385">
        <f t="shared" si="24"/>
        <v>28.077541182130112</v>
      </c>
      <c r="BY122" s="473">
        <f t="shared" si="64"/>
        <v>86.284365799651582</v>
      </c>
      <c r="BZ122" s="100">
        <f t="shared" si="65"/>
        <v>0.77892482805097885</v>
      </c>
      <c r="CA122" s="489">
        <f t="shared" si="25"/>
        <v>28.077541182130112</v>
      </c>
      <c r="CB122" s="579">
        <f t="shared" si="26"/>
        <v>0.36002659202487586</v>
      </c>
      <c r="CC122" s="471">
        <f t="shared" si="66"/>
        <v>0.42949271482438589</v>
      </c>
      <c r="CD122" s="100">
        <f t="shared" si="27"/>
        <v>0.36002659202487586</v>
      </c>
      <c r="CE122" s="471">
        <f t="shared" si="67"/>
        <v>0.42949271482438589</v>
      </c>
      <c r="CG122" s="473">
        <f t="shared" si="68"/>
        <v>1914.9659985381836</v>
      </c>
      <c r="CH122" s="474">
        <f t="shared" si="69"/>
        <v>843.25364609787891</v>
      </c>
      <c r="CI122" s="474">
        <f t="shared" si="70"/>
        <v>3211.5281673118106</v>
      </c>
      <c r="CJ122" s="474">
        <f t="shared" si="71"/>
        <v>4065.3910064856605</v>
      </c>
      <c r="CK122" s="474">
        <f t="shared" si="72"/>
        <v>48.930923017358609</v>
      </c>
      <c r="CL122" s="474">
        <f t="shared" si="73"/>
        <v>10084.069741450892</v>
      </c>
      <c r="CM122" s="576">
        <f t="shared" si="74"/>
        <v>0</v>
      </c>
    </row>
    <row r="123" spans="1:91">
      <c r="A123" s="89">
        <f>'Input data'!A143</f>
        <v>2043</v>
      </c>
      <c r="B123" s="152">
        <f>'Input data'!B143</f>
        <v>72.713504131197794</v>
      </c>
      <c r="C123" s="204">
        <f>'Input data'!C143</f>
        <v>7577.166622606117</v>
      </c>
      <c r="D123" s="204">
        <f>'Input data'!D143</f>
        <v>25458095.345617522</v>
      </c>
      <c r="E123" s="579">
        <f t="shared" si="89"/>
        <v>1</v>
      </c>
      <c r="F123" s="100">
        <f t="shared" si="89"/>
        <v>0.37</v>
      </c>
      <c r="G123" s="475">
        <f>B123*F123*'Input data'!$C$9</f>
        <v>823.4530550107803</v>
      </c>
      <c r="H123" s="301">
        <f>'Input data'!I143</f>
        <v>424.26313389388866</v>
      </c>
      <c r="I123" s="474">
        <f>'Input data'!K143</f>
        <v>30849.659139108197</v>
      </c>
      <c r="J123" s="474">
        <f t="shared" si="91"/>
        <v>2228.8062963921584</v>
      </c>
      <c r="K123" s="475">
        <f t="shared" si="77"/>
        <v>12107.59942346503</v>
      </c>
      <c r="L123" s="100">
        <f t="shared" si="90"/>
        <v>0.7</v>
      </c>
      <c r="M123" s="100">
        <f t="shared" si="88"/>
        <v>0.6</v>
      </c>
      <c r="N123" s="100">
        <f t="shared" si="88"/>
        <v>0.9</v>
      </c>
      <c r="O123" s="100">
        <f t="shared" si="88"/>
        <v>0.9</v>
      </c>
      <c r="P123" s="100">
        <f t="shared" si="88"/>
        <v>0.23600000000000002</v>
      </c>
      <c r="Q123" s="473">
        <f t="shared" si="33"/>
        <v>330.31880869473662</v>
      </c>
      <c r="R123" s="474">
        <f t="shared" si="34"/>
        <v>230.50673119136695</v>
      </c>
      <c r="S123" s="474">
        <f t="shared" si="35"/>
        <v>675.01916841381399</v>
      </c>
      <c r="T123" s="474">
        <f t="shared" si="36"/>
        <v>454.51565149924636</v>
      </c>
      <c r="U123" s="475">
        <f t="shared" si="37"/>
        <v>0</v>
      </c>
      <c r="V123" s="474">
        <f t="shared" si="38"/>
        <v>1690.3603597991639</v>
      </c>
      <c r="W123" s="579">
        <f t="shared" si="87"/>
        <v>0.5</v>
      </c>
      <c r="X123" s="475">
        <f t="shared" si="39"/>
        <v>3033.4854703020706</v>
      </c>
      <c r="Y123" s="473">
        <f t="shared" si="78"/>
        <v>4723.8458301012342</v>
      </c>
      <c r="Z123" s="474">
        <f t="shared" si="79"/>
        <v>9612.5598897559539</v>
      </c>
      <c r="AA123" s="475">
        <f t="shared" si="80"/>
        <v>7383.7535933637955</v>
      </c>
      <c r="AB123" s="938">
        <f t="shared" si="40"/>
        <v>0.7681360301570257</v>
      </c>
      <c r="AC123" s="118" t="str">
        <f t="shared" si="41"/>
        <v>Yes</v>
      </c>
      <c r="AD123" s="938">
        <f t="shared" si="42"/>
        <v>0.7681360301570257</v>
      </c>
      <c r="AE123" s="579">
        <f t="shared" si="10"/>
        <v>0.36200198208013235</v>
      </c>
      <c r="AF123" s="475">
        <f t="shared" si="43"/>
        <v>270.67903850077238</v>
      </c>
      <c r="AG123" s="474">
        <f t="shared" si="44"/>
        <v>2228.8062963921584</v>
      </c>
      <c r="AH123" s="474">
        <f t="shared" si="81"/>
        <v>10146.701187877499</v>
      </c>
      <c r="AI123" s="474">
        <f t="shared" si="82"/>
        <v>6437.6604656145792</v>
      </c>
      <c r="AJ123" s="474">
        <f t="shared" si="11"/>
        <v>868.85343437032486</v>
      </c>
      <c r="AK123" s="474">
        <f t="shared" si="45"/>
        <v>19682.02138425456</v>
      </c>
      <c r="AL123" s="640">
        <f t="shared" si="12"/>
        <v>0</v>
      </c>
      <c r="AM123" s="100">
        <f t="shared" si="46"/>
        <v>0.11324072120840105</v>
      </c>
      <c r="AN123" s="100">
        <f t="shared" si="47"/>
        <v>0.51553145836914749</v>
      </c>
      <c r="AO123" s="100">
        <f t="shared" si="48"/>
        <v>0.32708329799726005</v>
      </c>
      <c r="AP123" s="100">
        <f t="shared" si="49"/>
        <v>4.414452242519154E-2</v>
      </c>
      <c r="AQ123" s="100">
        <f t="shared" si="50"/>
        <v>1</v>
      </c>
      <c r="AR123" s="473">
        <f t="shared" si="13"/>
        <v>487.74148230998145</v>
      </c>
      <c r="AS123" s="474">
        <f t="shared" si="14"/>
        <v>618.58815149826364</v>
      </c>
      <c r="AT123" s="474">
        <f t="shared" si="15"/>
        <v>119.52678199812902</v>
      </c>
      <c r="AU123" s="474">
        <f t="shared" si="16"/>
        <v>0</v>
      </c>
      <c r="AV123" s="474">
        <f t="shared" si="17"/>
        <v>0</v>
      </c>
      <c r="AW123" s="474">
        <f t="shared" si="18"/>
        <v>0</v>
      </c>
      <c r="AX123" s="474">
        <f t="shared" si="19"/>
        <v>834.73515418163026</v>
      </c>
      <c r="AY123" s="474">
        <f t="shared" si="20"/>
        <v>67.237465585654235</v>
      </c>
      <c r="AZ123" s="474">
        <f t="shared" si="21"/>
        <v>18.900469241231164</v>
      </c>
      <c r="BA123" s="474">
        <f t="shared" si="22"/>
        <v>48.816230512718512</v>
      </c>
      <c r="BB123" s="474">
        <f t="shared" si="23"/>
        <v>33.260561064550103</v>
      </c>
      <c r="BC123" s="475">
        <f t="shared" si="51"/>
        <v>2228.8062963921584</v>
      </c>
      <c r="BD123" s="647">
        <f t="shared" si="52"/>
        <v>0</v>
      </c>
      <c r="BE123" s="383">
        <f t="shared" si="53"/>
        <v>0.21883529452492329</v>
      </c>
      <c r="BF123" s="383">
        <f t="shared" si="54"/>
        <v>0.27754235641724118</v>
      </c>
      <c r="BG123" s="383">
        <f t="shared" si="55"/>
        <v>5.3628160595028347E-2</v>
      </c>
      <c r="BH123" s="383">
        <f t="shared" si="56"/>
        <v>0</v>
      </c>
      <c r="BI123" s="383">
        <f t="shared" si="57"/>
        <v>0</v>
      </c>
      <c r="BJ123" s="383">
        <f t="shared" si="58"/>
        <v>0</v>
      </c>
      <c r="BK123" s="383">
        <f t="shared" si="59"/>
        <v>0.4499941884628072</v>
      </c>
      <c r="BL123" s="383">
        <f t="shared" si="60"/>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84.744304047821643</v>
      </c>
      <c r="BW123" s="100">
        <f t="shared" si="63"/>
        <v>0.79345321552366188</v>
      </c>
      <c r="BX123" s="1385">
        <f t="shared" si="24"/>
        <v>25.458095345617522</v>
      </c>
      <c r="BY123" s="473">
        <f t="shared" si="64"/>
        <v>84.744304047821643</v>
      </c>
      <c r="BZ123" s="100">
        <f t="shared" si="65"/>
        <v>0.79345321552366188</v>
      </c>
      <c r="CA123" s="489">
        <f t="shared" si="25"/>
        <v>25.458095345617522</v>
      </c>
      <c r="CB123" s="579">
        <f t="shared" si="26"/>
        <v>0.36200198208013235</v>
      </c>
      <c r="CC123" s="471">
        <f t="shared" si="66"/>
        <v>0.44209693920459781</v>
      </c>
      <c r="CD123" s="100">
        <f t="shared" si="27"/>
        <v>0.36200198208013235</v>
      </c>
      <c r="CE123" s="471">
        <f t="shared" si="67"/>
        <v>0.44209693920459781</v>
      </c>
      <c r="CG123" s="473">
        <f t="shared" si="68"/>
        <v>1926.8597173859628</v>
      </c>
      <c r="CH123" s="474">
        <f t="shared" si="69"/>
        <v>848.49103506024642</v>
      </c>
      <c r="CI123" s="474">
        <f t="shared" si="70"/>
        <v>3231.4747424065586</v>
      </c>
      <c r="CJ123" s="474">
        <f t="shared" si="71"/>
        <v>4090.6408634932222</v>
      </c>
      <c r="CK123" s="474">
        <f t="shared" si="72"/>
        <v>49.23482953150824</v>
      </c>
      <c r="CL123" s="474">
        <f t="shared" si="73"/>
        <v>10146.701187877499</v>
      </c>
      <c r="CM123" s="576">
        <f t="shared" si="74"/>
        <v>0</v>
      </c>
    </row>
    <row r="124" spans="1:91">
      <c r="A124" s="89">
        <f>'Input data'!A144</f>
        <v>2044</v>
      </c>
      <c r="B124" s="152">
        <f>'Input data'!B144</f>
        <v>73.165122580420132</v>
      </c>
      <c r="C124" s="204">
        <f>'Input data'!C144</f>
        <v>7783.6023406905715</v>
      </c>
      <c r="D124" s="204">
        <f>'Input data'!D144</f>
        <v>22838649.509104934</v>
      </c>
      <c r="E124" s="579">
        <f t="shared" si="89"/>
        <v>1</v>
      </c>
      <c r="F124" s="100">
        <f t="shared" si="89"/>
        <v>0.37</v>
      </c>
      <c r="G124" s="475">
        <f>B124*F124*'Input data'!$C$9</f>
        <v>828.56746389747582</v>
      </c>
      <c r="H124" s="301">
        <f>'Input data'!I144</f>
        <v>424.26313389388866</v>
      </c>
      <c r="I124" s="474">
        <f>'Input data'!K144</f>
        <v>31041.264197699562</v>
      </c>
      <c r="J124" s="474">
        <f t="shared" si="91"/>
        <v>2228.8062963921584</v>
      </c>
      <c r="K124" s="475">
        <f t="shared" si="77"/>
        <v>12196.641828943688</v>
      </c>
      <c r="L124" s="100">
        <f t="shared" si="90"/>
        <v>0.7</v>
      </c>
      <c r="M124" s="100">
        <f t="shared" si="88"/>
        <v>0.6</v>
      </c>
      <c r="N124" s="100">
        <f t="shared" si="88"/>
        <v>0.9</v>
      </c>
      <c r="O124" s="100">
        <f t="shared" si="88"/>
        <v>0.9</v>
      </c>
      <c r="P124" s="100">
        <f t="shared" si="88"/>
        <v>0.23600000000000002</v>
      </c>
      <c r="Q124" s="473">
        <f t="shared" si="33"/>
        <v>332.37039553426666</v>
      </c>
      <c r="R124" s="474">
        <f t="shared" si="34"/>
        <v>231.93839225240072</v>
      </c>
      <c r="S124" s="474">
        <f t="shared" si="35"/>
        <v>679.21166489265715</v>
      </c>
      <c r="T124" s="474">
        <f t="shared" si="36"/>
        <v>457.33861617588991</v>
      </c>
      <c r="U124" s="475">
        <f t="shared" si="37"/>
        <v>0</v>
      </c>
      <c r="V124" s="474">
        <f t="shared" si="38"/>
        <v>1700.8590688552144</v>
      </c>
      <c r="W124" s="579">
        <f t="shared" si="87"/>
        <v>0.5</v>
      </c>
      <c r="X124" s="475">
        <f t="shared" si="39"/>
        <v>3033.4854703020706</v>
      </c>
      <c r="Y124" s="473">
        <f t="shared" si="78"/>
        <v>4734.344539157285</v>
      </c>
      <c r="Z124" s="474">
        <f t="shared" si="79"/>
        <v>9691.1035861785604</v>
      </c>
      <c r="AA124" s="475">
        <f t="shared" si="80"/>
        <v>7462.297289786402</v>
      </c>
      <c r="AB124" s="938">
        <f t="shared" si="40"/>
        <v>0.77001522307832115</v>
      </c>
      <c r="AC124" s="118" t="str">
        <f t="shared" si="41"/>
        <v>Yes</v>
      </c>
      <c r="AD124" s="938">
        <f t="shared" si="42"/>
        <v>0.77001522307832115</v>
      </c>
      <c r="AE124" s="579">
        <f t="shared" si="10"/>
        <v>0.36396428507300427</v>
      </c>
      <c r="AF124" s="475">
        <f t="shared" si="43"/>
        <v>269.84650568336718</v>
      </c>
      <c r="AG124" s="474">
        <f t="shared" si="44"/>
        <v>2228.8062963921584</v>
      </c>
      <c r="AH124" s="474">
        <f t="shared" si="81"/>
        <v>10209.721633803518</v>
      </c>
      <c r="AI124" s="474">
        <f t="shared" si="82"/>
        <v>6437.6604656145792</v>
      </c>
      <c r="AJ124" s="474">
        <f t="shared" si="11"/>
        <v>867.16427041134273</v>
      </c>
      <c r="AK124" s="474">
        <f t="shared" si="45"/>
        <v>19743.352666221599</v>
      </c>
      <c r="AL124" s="640">
        <f t="shared" si="12"/>
        <v>0</v>
      </c>
      <c r="AM124" s="100">
        <f t="shared" si="46"/>
        <v>0.11288894718501212</v>
      </c>
      <c r="AN124" s="100">
        <f t="shared" si="47"/>
        <v>0.51712198056772152</v>
      </c>
      <c r="AO124" s="100">
        <f t="shared" si="48"/>
        <v>0.32606723763936046</v>
      </c>
      <c r="AP124" s="100">
        <f t="shared" si="49"/>
        <v>4.3921834607905885E-2</v>
      </c>
      <c r="AQ124" s="100">
        <f t="shared" si="50"/>
        <v>0.99999999999999989</v>
      </c>
      <c r="AR124" s="473">
        <f t="shared" si="13"/>
        <v>488.70355470410806</v>
      </c>
      <c r="AS124" s="474">
        <f t="shared" si="14"/>
        <v>619.80831956982433</v>
      </c>
      <c r="AT124" s="474">
        <f t="shared" si="15"/>
        <v>119.29440640485001</v>
      </c>
      <c r="AU124" s="474">
        <f t="shared" si="16"/>
        <v>0</v>
      </c>
      <c r="AV124" s="474">
        <f t="shared" si="17"/>
        <v>0</v>
      </c>
      <c r="AW124" s="474">
        <f t="shared" si="18"/>
        <v>0</v>
      </c>
      <c r="AX124" s="474">
        <f t="shared" si="19"/>
        <v>833.11232059202621</v>
      </c>
      <c r="AY124" s="474">
        <f t="shared" si="20"/>
        <v>67.106747216976913</v>
      </c>
      <c r="AZ124" s="474">
        <f t="shared" si="21"/>
        <v>18.863724273452689</v>
      </c>
      <c r="BA124" s="474">
        <f t="shared" si="22"/>
        <v>48.721325418333805</v>
      </c>
      <c r="BB124" s="474">
        <f t="shared" si="23"/>
        <v>33.195898212585334</v>
      </c>
      <c r="BC124" s="475">
        <f t="shared" si="51"/>
        <v>2228.8062963921575</v>
      </c>
      <c r="BD124" s="647">
        <f t="shared" si="52"/>
        <v>0</v>
      </c>
      <c r="BE124" s="383">
        <f t="shared" si="53"/>
        <v>0.21926694818441095</v>
      </c>
      <c r="BF124" s="383">
        <f t="shared" si="54"/>
        <v>0.27808981003559108</v>
      </c>
      <c r="BG124" s="383">
        <f t="shared" si="55"/>
        <v>5.3523900483391409E-2</v>
      </c>
      <c r="BH124" s="383">
        <f t="shared" si="56"/>
        <v>0</v>
      </c>
      <c r="BI124" s="383">
        <f t="shared" si="57"/>
        <v>0</v>
      </c>
      <c r="BJ124" s="383">
        <f t="shared" si="58"/>
        <v>0</v>
      </c>
      <c r="BK124" s="383">
        <f t="shared" si="59"/>
        <v>0.44911934129660652</v>
      </c>
      <c r="BL124" s="383">
        <f t="shared" si="60"/>
        <v>1</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83.244698131368921</v>
      </c>
      <c r="BW124" s="100">
        <f t="shared" si="63"/>
        <v>0.80861248392404828</v>
      </c>
      <c r="BX124" s="1385">
        <f t="shared" si="24"/>
        <v>22.838649509104933</v>
      </c>
      <c r="BY124" s="473">
        <f t="shared" si="64"/>
        <v>83.244698131368921</v>
      </c>
      <c r="BZ124" s="100">
        <f t="shared" si="65"/>
        <v>0.80861248392404828</v>
      </c>
      <c r="CA124" s="489">
        <f t="shared" si="25"/>
        <v>22.838649509104933</v>
      </c>
      <c r="CB124" s="579">
        <f t="shared" si="26"/>
        <v>0.36396428507300427</v>
      </c>
      <c r="CC124" s="471">
        <f t="shared" si="66"/>
        <v>0.45484697697563492</v>
      </c>
      <c r="CD124" s="100">
        <f t="shared" si="27"/>
        <v>0.36396428507300427</v>
      </c>
      <c r="CE124" s="471">
        <f t="shared" si="67"/>
        <v>0.45484697697563492</v>
      </c>
      <c r="CG124" s="473">
        <f t="shared" si="68"/>
        <v>1938.8273072832219</v>
      </c>
      <c r="CH124" s="474">
        <f t="shared" si="69"/>
        <v>853.76095307632158</v>
      </c>
      <c r="CI124" s="474">
        <f t="shared" si="70"/>
        <v>3251.5452042733609</v>
      </c>
      <c r="CJ124" s="474">
        <f t="shared" si="71"/>
        <v>4116.0475455830165</v>
      </c>
      <c r="CK124" s="474">
        <f t="shared" si="72"/>
        <v>49.540623587597544</v>
      </c>
      <c r="CL124" s="474">
        <f t="shared" si="73"/>
        <v>10209.72163380352</v>
      </c>
      <c r="CM124" s="576">
        <f t="shared" si="74"/>
        <v>0</v>
      </c>
    </row>
    <row r="125" spans="1:91">
      <c r="A125" s="89">
        <f>'Input data'!A145</f>
        <v>2045</v>
      </c>
      <c r="B125" s="152">
        <f>'Input data'!B145</f>
        <v>73.619545999999971</v>
      </c>
      <c r="C125" s="204">
        <f>'Input data'!C145</f>
        <v>7997.9247065980107</v>
      </c>
      <c r="D125" s="204">
        <f>'Input data'!D145</f>
        <v>20219203.672592338</v>
      </c>
      <c r="E125" s="579">
        <f t="shared" si="89"/>
        <v>1</v>
      </c>
      <c r="F125" s="100">
        <f t="shared" si="89"/>
        <v>0.37</v>
      </c>
      <c r="G125" s="475">
        <f>B125*F125*'Input data'!$C$9</f>
        <v>833.71363801729672</v>
      </c>
      <c r="H125" s="301">
        <f>'Input data'!I145</f>
        <v>424.26313389388866</v>
      </c>
      <c r="I125" s="474">
        <f>'Input data'!K145</f>
        <v>31234.059301805282</v>
      </c>
      <c r="J125" s="474">
        <f t="shared" si="91"/>
        <v>2228.8062963921584</v>
      </c>
      <c r="K125" s="475">
        <f t="shared" si="77"/>
        <v>12286.237270526955</v>
      </c>
      <c r="L125" s="100">
        <f t="shared" si="90"/>
        <v>0.7</v>
      </c>
      <c r="M125" s="100">
        <f t="shared" si="88"/>
        <v>0.6</v>
      </c>
      <c r="N125" s="100">
        <f t="shared" si="88"/>
        <v>0.9</v>
      </c>
      <c r="O125" s="100">
        <f t="shared" si="88"/>
        <v>0.9</v>
      </c>
      <c r="P125" s="100">
        <f t="shared" si="88"/>
        <v>0.23600000000000002</v>
      </c>
      <c r="Q125" s="473">
        <f t="shared" si="33"/>
        <v>334.43472463505896</v>
      </c>
      <c r="R125" s="474">
        <f t="shared" si="34"/>
        <v>233.37894525937941</v>
      </c>
      <c r="S125" s="474">
        <f t="shared" si="35"/>
        <v>683.43020067163843</v>
      </c>
      <c r="T125" s="474">
        <f t="shared" si="36"/>
        <v>460.17911408717418</v>
      </c>
      <c r="U125" s="475">
        <f t="shared" si="37"/>
        <v>0</v>
      </c>
      <c r="V125" s="474">
        <f t="shared" si="38"/>
        <v>1711.422984653251</v>
      </c>
      <c r="W125" s="579">
        <f t="shared" si="87"/>
        <v>0.5</v>
      </c>
      <c r="X125" s="475">
        <f t="shared" si="39"/>
        <v>3033.4854703020706</v>
      </c>
      <c r="Y125" s="473">
        <f t="shared" si="78"/>
        <v>4744.9084549553218</v>
      </c>
      <c r="Z125" s="474">
        <f t="shared" si="79"/>
        <v>9770.1351119637911</v>
      </c>
      <c r="AA125" s="475">
        <f t="shared" si="80"/>
        <v>7541.3288155716327</v>
      </c>
      <c r="AB125" s="938">
        <f t="shared" si="40"/>
        <v>0.77187559119188376</v>
      </c>
      <c r="AC125" s="118" t="str">
        <f t="shared" si="41"/>
        <v>Yes</v>
      </c>
      <c r="AD125" s="938">
        <f t="shared" si="42"/>
        <v>0.77187559119188376</v>
      </c>
      <c r="AE125" s="579">
        <f t="shared" si="10"/>
        <v>0.36591359792336786</v>
      </c>
      <c r="AF125" s="475">
        <f t="shared" si="43"/>
        <v>269.0194841045323</v>
      </c>
      <c r="AG125" s="474">
        <f t="shared" si="44"/>
        <v>2228.8062963921584</v>
      </c>
      <c r="AH125" s="474">
        <f t="shared" si="81"/>
        <v>10273.133495277429</v>
      </c>
      <c r="AI125" s="474">
        <f t="shared" si="82"/>
        <v>6437.6604656145792</v>
      </c>
      <c r="AJ125" s="474">
        <f t="shared" si="11"/>
        <v>865.49202764570771</v>
      </c>
      <c r="AK125" s="474">
        <f t="shared" si="45"/>
        <v>19805.092284929877</v>
      </c>
      <c r="AL125" s="640">
        <f t="shared" si="12"/>
        <v>0</v>
      </c>
      <c r="AM125" s="100">
        <f t="shared" si="46"/>
        <v>0.11253703160414483</v>
      </c>
      <c r="AN125" s="100">
        <f t="shared" si="47"/>
        <v>0.51871172057574699</v>
      </c>
      <c r="AO125" s="100">
        <f t="shared" si="48"/>
        <v>0.32505076840834185</v>
      </c>
      <c r="AP125" s="100">
        <f t="shared" si="49"/>
        <v>4.3700479411766198E-2</v>
      </c>
      <c r="AQ125" s="100">
        <f t="shared" si="50"/>
        <v>0.99999999999999989</v>
      </c>
      <c r="AR125" s="473">
        <f t="shared" si="13"/>
        <v>489.65598954179325</v>
      </c>
      <c r="AS125" s="474">
        <f t="shared" si="14"/>
        <v>621.01626461250521</v>
      </c>
      <c r="AT125" s="474">
        <f t="shared" si="15"/>
        <v>119.06435863316699</v>
      </c>
      <c r="AU125" s="474">
        <f t="shared" si="16"/>
        <v>0</v>
      </c>
      <c r="AV125" s="474">
        <f t="shared" si="17"/>
        <v>0</v>
      </c>
      <c r="AW125" s="474">
        <f t="shared" si="18"/>
        <v>0</v>
      </c>
      <c r="AX125" s="474">
        <f t="shared" si="19"/>
        <v>831.50574373155371</v>
      </c>
      <c r="AY125" s="474">
        <f t="shared" si="20"/>
        <v>66.977338319046126</v>
      </c>
      <c r="AZ125" s="474">
        <f t="shared" si="21"/>
        <v>18.827347398245077</v>
      </c>
      <c r="BA125" s="474">
        <f t="shared" si="22"/>
        <v>48.627371035360618</v>
      </c>
      <c r="BB125" s="474">
        <f t="shared" si="23"/>
        <v>33.131883120487025</v>
      </c>
      <c r="BC125" s="475">
        <f t="shared" si="51"/>
        <v>2228.8062963921584</v>
      </c>
      <c r="BD125" s="647">
        <f t="shared" si="52"/>
        <v>0</v>
      </c>
      <c r="BE125" s="383">
        <f t="shared" si="53"/>
        <v>0.21969427775505454</v>
      </c>
      <c r="BF125" s="383">
        <f t="shared" si="54"/>
        <v>0.27863177953946222</v>
      </c>
      <c r="BG125" s="383">
        <f t="shared" si="55"/>
        <v>5.3420684797014596E-2</v>
      </c>
      <c r="BH125" s="383">
        <f t="shared" si="56"/>
        <v>0</v>
      </c>
      <c r="BI125" s="383">
        <f t="shared" si="57"/>
        <v>0</v>
      </c>
      <c r="BJ125" s="383">
        <f t="shared" si="58"/>
        <v>0</v>
      </c>
      <c r="BK125" s="383">
        <f t="shared" si="59"/>
        <v>0.44825325790846843</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83.34235916703048</v>
      </c>
      <c r="BW125" s="100">
        <f t="shared" si="63"/>
        <v>0.80901970948511648</v>
      </c>
      <c r="BX125" s="1385">
        <f t="shared" si="24"/>
        <v>20.219203672592339</v>
      </c>
      <c r="BY125" s="473">
        <f t="shared" si="64"/>
        <v>83.34235916703048</v>
      </c>
      <c r="BZ125" s="100">
        <f t="shared" si="65"/>
        <v>0.80901970948511648</v>
      </c>
      <c r="CA125" s="489">
        <f t="shared" si="25"/>
        <v>20.219203672592339</v>
      </c>
      <c r="CB125" s="579">
        <f t="shared" si="26"/>
        <v>0.36591359792336786</v>
      </c>
      <c r="CC125" s="471">
        <f t="shared" si="66"/>
        <v>0.45434689297828268</v>
      </c>
      <c r="CD125" s="100">
        <f t="shared" si="27"/>
        <v>0.36591359792336786</v>
      </c>
      <c r="CE125" s="471">
        <f t="shared" si="67"/>
        <v>0.45434689297828268</v>
      </c>
      <c r="CG125" s="473">
        <f t="shared" si="68"/>
        <v>1950.8692270378426</v>
      </c>
      <c r="CH125" s="474">
        <f t="shared" si="69"/>
        <v>859.06360218176451</v>
      </c>
      <c r="CI125" s="474">
        <f t="shared" si="70"/>
        <v>3271.7403223642282</v>
      </c>
      <c r="CJ125" s="474">
        <f t="shared" si="71"/>
        <v>4141.6120267845772</v>
      </c>
      <c r="CK125" s="474">
        <f t="shared" si="72"/>
        <v>49.848316909016496</v>
      </c>
      <c r="CL125" s="474">
        <f t="shared" si="73"/>
        <v>10273.133495277429</v>
      </c>
      <c r="CM125" s="576">
        <f t="shared" si="74"/>
        <v>0</v>
      </c>
    </row>
    <row r="126" spans="1:91">
      <c r="A126" s="89">
        <f>'Input data'!A146</f>
        <v>2046</v>
      </c>
      <c r="B126" s="152">
        <f>'Input data'!B146</f>
        <v>73.995362001779526</v>
      </c>
      <c r="C126" s="204">
        <f>'Input data'!C146</f>
        <v>8212.8506709212088</v>
      </c>
      <c r="D126" s="204">
        <f>'Input data'!D146</f>
        <v>16217597.669678843</v>
      </c>
      <c r="E126" s="579">
        <f t="shared" si="89"/>
        <v>1</v>
      </c>
      <c r="F126" s="100">
        <f t="shared" si="89"/>
        <v>0.37</v>
      </c>
      <c r="G126" s="475">
        <f>B126*F126*'Input data'!$C$9</f>
        <v>837.96961272907708</v>
      </c>
      <c r="H126" s="301">
        <f>'Input data'!I146</f>
        <v>424.26313389388866</v>
      </c>
      <c r="I126" s="474">
        <f>'Input data'!K146</f>
        <v>31393.50417648775</v>
      </c>
      <c r="J126" s="474">
        <f t="shared" si="91"/>
        <v>2228.8062963921584</v>
      </c>
      <c r="K126" s="475">
        <f t="shared" si="77"/>
        <v>12360.334245248529</v>
      </c>
      <c r="L126" s="100">
        <f t="shared" si="90"/>
        <v>0.7</v>
      </c>
      <c r="M126" s="100">
        <f t="shared" si="88"/>
        <v>0.6</v>
      </c>
      <c r="N126" s="100">
        <f t="shared" si="88"/>
        <v>0.9</v>
      </c>
      <c r="O126" s="100">
        <f t="shared" si="88"/>
        <v>0.9</v>
      </c>
      <c r="P126" s="100">
        <f t="shared" si="88"/>
        <v>0.23600000000000002</v>
      </c>
      <c r="Q126" s="473">
        <f t="shared" si="33"/>
        <v>336.14196038830005</v>
      </c>
      <c r="R126" s="474">
        <f t="shared" si="34"/>
        <v>234.57030742978588</v>
      </c>
      <c r="S126" s="474">
        <f t="shared" si="35"/>
        <v>686.91900248402408</v>
      </c>
      <c r="T126" s="474">
        <f t="shared" si="36"/>
        <v>462.52825482703656</v>
      </c>
      <c r="U126" s="475">
        <f t="shared" si="37"/>
        <v>0</v>
      </c>
      <c r="V126" s="474">
        <f t="shared" si="38"/>
        <v>1720.1595251291465</v>
      </c>
      <c r="W126" s="579">
        <f t="shared" si="87"/>
        <v>0.5</v>
      </c>
      <c r="X126" s="475">
        <f t="shared" si="39"/>
        <v>3033.4854703020706</v>
      </c>
      <c r="Y126" s="473">
        <f t="shared" si="78"/>
        <v>4753.6449954312175</v>
      </c>
      <c r="Z126" s="474">
        <f t="shared" si="79"/>
        <v>9835.4955462094695</v>
      </c>
      <c r="AA126" s="475">
        <f t="shared" si="80"/>
        <v>7606.6892498173111</v>
      </c>
      <c r="AB126" s="938">
        <f t="shared" si="40"/>
        <v>0.77339156060610237</v>
      </c>
      <c r="AC126" s="118" t="str">
        <f t="shared" si="41"/>
        <v>Yes</v>
      </c>
      <c r="AD126" s="938">
        <f t="shared" si="42"/>
        <v>0.77339156060610237</v>
      </c>
      <c r="AE126" s="579">
        <f t="shared" si="10"/>
        <v>0.36750697834425616</v>
      </c>
      <c r="AF126" s="475">
        <f t="shared" si="43"/>
        <v>268.34347153368111</v>
      </c>
      <c r="AG126" s="474">
        <f t="shared" si="44"/>
        <v>2228.8062963921584</v>
      </c>
      <c r="AH126" s="474">
        <f t="shared" si="81"/>
        <v>10325.57619787088</v>
      </c>
      <c r="AI126" s="474">
        <f t="shared" si="82"/>
        <v>6437.6604656145792</v>
      </c>
      <c r="AJ126" s="474">
        <f t="shared" si="11"/>
        <v>864.12935707133613</v>
      </c>
      <c r="AK126" s="474">
        <f t="shared" si="45"/>
        <v>19856.172316948952</v>
      </c>
      <c r="AL126" s="640">
        <f t="shared" si="12"/>
        <v>0</v>
      </c>
      <c r="AM126" s="100">
        <f t="shared" si="46"/>
        <v>0.11224752992749164</v>
      </c>
      <c r="AN126" s="100">
        <f t="shared" si="47"/>
        <v>0.52001846242324923</v>
      </c>
      <c r="AO126" s="100">
        <f t="shared" si="48"/>
        <v>0.32421457483623273</v>
      </c>
      <c r="AP126" s="100">
        <f t="shared" si="49"/>
        <v>4.3519432813026476E-2</v>
      </c>
      <c r="AQ126" s="100">
        <f t="shared" si="50"/>
        <v>1</v>
      </c>
      <c r="AR126" s="473">
        <f t="shared" si="13"/>
        <v>490.43210587728646</v>
      </c>
      <c r="AS126" s="474">
        <f t="shared" si="14"/>
        <v>622.00059009379629</v>
      </c>
      <c r="AT126" s="474">
        <f t="shared" si="15"/>
        <v>118.87689821437245</v>
      </c>
      <c r="AU126" s="474">
        <f t="shared" si="16"/>
        <v>0</v>
      </c>
      <c r="AV126" s="474">
        <f t="shared" si="17"/>
        <v>0</v>
      </c>
      <c r="AW126" s="474">
        <f t="shared" si="18"/>
        <v>0</v>
      </c>
      <c r="AX126" s="474">
        <f t="shared" si="19"/>
        <v>830.19658273039909</v>
      </c>
      <c r="AY126" s="474">
        <f t="shared" si="20"/>
        <v>66.871886107862451</v>
      </c>
      <c r="AZ126" s="474">
        <f t="shared" si="21"/>
        <v>18.797704753976223</v>
      </c>
      <c r="BA126" s="474">
        <f t="shared" si="22"/>
        <v>48.550809859171196</v>
      </c>
      <c r="BB126" s="474">
        <f t="shared" si="23"/>
        <v>33.079718755293953</v>
      </c>
      <c r="BC126" s="475">
        <f t="shared" si="51"/>
        <v>2228.8062963921579</v>
      </c>
      <c r="BD126" s="647">
        <f t="shared" si="52"/>
        <v>0</v>
      </c>
      <c r="BE126" s="383">
        <f t="shared" si="53"/>
        <v>0.22004249838631784</v>
      </c>
      <c r="BF126" s="383">
        <f t="shared" si="54"/>
        <v>0.27907341750633474</v>
      </c>
      <c r="BG126" s="383">
        <f t="shared" si="55"/>
        <v>5.3336576806518536E-2</v>
      </c>
      <c r="BH126" s="383">
        <f t="shared" si="56"/>
        <v>0</v>
      </c>
      <c r="BI126" s="383">
        <f t="shared" si="57"/>
        <v>0</v>
      </c>
      <c r="BJ126" s="383">
        <f t="shared" si="58"/>
        <v>0</v>
      </c>
      <c r="BK126" s="383">
        <f t="shared" si="59"/>
        <v>0.44754750730082893</v>
      </c>
      <c r="BL126" s="383">
        <f t="shared" si="60"/>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82.89483956401763</v>
      </c>
      <c r="BW126" s="100">
        <f t="shared" si="63"/>
        <v>0.80798867517412687</v>
      </c>
      <c r="BX126" s="1385">
        <f t="shared" si="24"/>
        <v>16.217597669678842</v>
      </c>
      <c r="BY126" s="473">
        <f t="shared" si="64"/>
        <v>82.89483956401763</v>
      </c>
      <c r="BZ126" s="100">
        <f t="shared" si="65"/>
        <v>0.80798867517412687</v>
      </c>
      <c r="CA126" s="489">
        <f t="shared" si="25"/>
        <v>16.217597669678842</v>
      </c>
      <c r="CB126" s="579">
        <f t="shared" si="26"/>
        <v>0.36750697834425616</v>
      </c>
      <c r="CC126" s="471">
        <f t="shared" si="66"/>
        <v>0.45196529108273187</v>
      </c>
      <c r="CD126" s="100">
        <f t="shared" si="27"/>
        <v>0.36750697834425616</v>
      </c>
      <c r="CE126" s="471">
        <f t="shared" si="67"/>
        <v>0.45196529108273187</v>
      </c>
      <c r="CG126" s="473">
        <f t="shared" si="68"/>
        <v>1960.828102265084</v>
      </c>
      <c r="CH126" s="474">
        <f t="shared" si="69"/>
        <v>863.44898440412021</v>
      </c>
      <c r="CI126" s="474">
        <f t="shared" si="70"/>
        <v>3288.4420331682022</v>
      </c>
      <c r="CJ126" s="474">
        <f t="shared" si="71"/>
        <v>4162.7542934433304</v>
      </c>
      <c r="CK126" s="474">
        <f t="shared" si="72"/>
        <v>50.10278459014274</v>
      </c>
      <c r="CL126" s="474">
        <f t="shared" si="73"/>
        <v>10325.57619787088</v>
      </c>
      <c r="CM126" s="576">
        <f t="shared" si="74"/>
        <v>0</v>
      </c>
    </row>
    <row r="127" spans="1:91" s="1" customFormat="1">
      <c r="A127" s="89">
        <f>'Input data'!A147</f>
        <v>2047</v>
      </c>
      <c r="B127" s="152">
        <f>'Input data'!B147</f>
        <v>74.373096484110363</v>
      </c>
      <c r="C127" s="204">
        <f>'Input data'!C147</f>
        <v>8261.0803168727289</v>
      </c>
      <c r="D127" s="204">
        <f>'Input data'!D147</f>
        <v>12215991.666765345</v>
      </c>
      <c r="E127" s="579">
        <f t="shared" si="89"/>
        <v>1</v>
      </c>
      <c r="F127" s="100">
        <f t="shared" si="89"/>
        <v>0.37</v>
      </c>
      <c r="G127" s="475">
        <f>B127*F127*'Input data'!$C$9</f>
        <v>842.24731351072307</v>
      </c>
      <c r="H127" s="301">
        <f>'Input data'!I147</f>
        <v>424.26313389388866</v>
      </c>
      <c r="I127" s="474">
        <f>'Input data'!K147</f>
        <v>31553.762991741216</v>
      </c>
      <c r="J127" s="474">
        <f t="shared" si="91"/>
        <v>2228.8062963921584</v>
      </c>
      <c r="K127" s="475">
        <f t="shared" si="77"/>
        <v>12434.809473169109</v>
      </c>
      <c r="L127" s="100">
        <f t="shared" si="90"/>
        <v>0.7</v>
      </c>
      <c r="M127" s="100">
        <f t="shared" si="90"/>
        <v>0.6</v>
      </c>
      <c r="N127" s="100">
        <f t="shared" si="90"/>
        <v>0.9</v>
      </c>
      <c r="O127" s="100">
        <f t="shared" si="90"/>
        <v>0.9</v>
      </c>
      <c r="P127" s="100">
        <f t="shared" si="90"/>
        <v>0.23600000000000002</v>
      </c>
      <c r="Q127" s="473">
        <f t="shared" si="33"/>
        <v>337.8579113068713</v>
      </c>
      <c r="R127" s="474">
        <f t="shared" si="34"/>
        <v>235.76775131343163</v>
      </c>
      <c r="S127" s="474">
        <f t="shared" si="35"/>
        <v>690.42561407138692</v>
      </c>
      <c r="T127" s="474">
        <f t="shared" si="36"/>
        <v>464.88938755446634</v>
      </c>
      <c r="U127" s="475">
        <f t="shared" si="37"/>
        <v>0</v>
      </c>
      <c r="V127" s="474">
        <f t="shared" si="38"/>
        <v>1728.9406642461563</v>
      </c>
      <c r="W127" s="579">
        <f t="shared" si="87"/>
        <v>0.5</v>
      </c>
      <c r="X127" s="475">
        <f t="shared" si="39"/>
        <v>3033.4854703020706</v>
      </c>
      <c r="Y127" s="473">
        <f t="shared" si="78"/>
        <v>4762.4261345482264</v>
      </c>
      <c r="Z127" s="474">
        <f t="shared" si="79"/>
        <v>9901.189635013041</v>
      </c>
      <c r="AA127" s="475">
        <f t="shared" si="80"/>
        <v>7672.3833386208826</v>
      </c>
      <c r="AB127" s="938">
        <f t="shared" si="40"/>
        <v>0.7748951006341146</v>
      </c>
      <c r="AC127" s="118" t="str">
        <f t="shared" si="41"/>
        <v>Yes</v>
      </c>
      <c r="AD127" s="938">
        <f t="shared" si="42"/>
        <v>0.7748951006341146</v>
      </c>
      <c r="AE127" s="579">
        <f t="shared" si="10"/>
        <v>0.36909169159072286</v>
      </c>
      <c r="AF127" s="475">
        <f t="shared" si="43"/>
        <v>267.67113612541198</v>
      </c>
      <c r="AG127" s="474">
        <f t="shared" si="44"/>
        <v>2228.8062963921584</v>
      </c>
      <c r="AH127" s="474">
        <f t="shared" si="81"/>
        <v>10378.286612069227</v>
      </c>
      <c r="AI127" s="474">
        <f t="shared" si="82"/>
        <v>6437.6604656145792</v>
      </c>
      <c r="AJ127" s="474">
        <f t="shared" si="11"/>
        <v>862.77785899073763</v>
      </c>
      <c r="AK127" s="474">
        <f t="shared" si="45"/>
        <v>19907.531233066704</v>
      </c>
      <c r="AL127" s="640">
        <f t="shared" si="12"/>
        <v>0</v>
      </c>
      <c r="AM127" s="100">
        <f t="shared" si="46"/>
        <v>0.11195794547794445</v>
      </c>
      <c r="AN127" s="100">
        <f t="shared" si="47"/>
        <v>0.52132464294873182</v>
      </c>
      <c r="AO127" s="100">
        <f t="shared" si="48"/>
        <v>0.32337814218377464</v>
      </c>
      <c r="AP127" s="100">
        <f t="shared" si="49"/>
        <v>4.3339269389548955E-2</v>
      </c>
      <c r="AQ127" s="100">
        <f t="shared" si="50"/>
        <v>0.99999999999999978</v>
      </c>
      <c r="AR127" s="473">
        <f t="shared" si="13"/>
        <v>491.20185885901765</v>
      </c>
      <c r="AS127" s="474">
        <f t="shared" si="14"/>
        <v>622.97684512099681</v>
      </c>
      <c r="AT127" s="474">
        <f t="shared" si="15"/>
        <v>118.69097477773697</v>
      </c>
      <c r="AU127" s="474">
        <f t="shared" si="16"/>
        <v>0</v>
      </c>
      <c r="AV127" s="474">
        <f t="shared" si="17"/>
        <v>0</v>
      </c>
      <c r="AW127" s="474">
        <f t="shared" si="18"/>
        <v>0</v>
      </c>
      <c r="AX127" s="474">
        <f t="shared" si="19"/>
        <v>828.8981554996866</v>
      </c>
      <c r="AY127" s="474">
        <f t="shared" si="20"/>
        <v>66.767298496087406</v>
      </c>
      <c r="AZ127" s="474">
        <f t="shared" si="21"/>
        <v>18.768305148828162</v>
      </c>
      <c r="BA127" s="474">
        <f t="shared" si="22"/>
        <v>48.474876405691035</v>
      </c>
      <c r="BB127" s="474">
        <f t="shared" si="23"/>
        <v>33.027982084113098</v>
      </c>
      <c r="BC127" s="475">
        <f t="shared" si="51"/>
        <v>2228.8062963921579</v>
      </c>
      <c r="BD127" s="647">
        <f t="shared" si="52"/>
        <v>0</v>
      </c>
      <c r="BE127" s="383">
        <f t="shared" si="53"/>
        <v>0.22038786396742607</v>
      </c>
      <c r="BF127" s="383">
        <f t="shared" si="54"/>
        <v>0.27951143449721488</v>
      </c>
      <c r="BG127" s="383">
        <f t="shared" si="55"/>
        <v>5.3253158414827681E-2</v>
      </c>
      <c r="BH127" s="383">
        <f t="shared" si="56"/>
        <v>0</v>
      </c>
      <c r="BI127" s="383">
        <f t="shared" si="57"/>
        <v>0</v>
      </c>
      <c r="BJ127" s="383">
        <f t="shared" si="58"/>
        <v>0</v>
      </c>
      <c r="BK127" s="383">
        <f t="shared" si="59"/>
        <v>0.44684754312053121</v>
      </c>
      <c r="BL127" s="383">
        <f t="shared" si="60"/>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81.59285580658279</v>
      </c>
      <c r="BW127" s="100">
        <f t="shared" si="63"/>
        <v>0.80492473503260931</v>
      </c>
      <c r="BX127" s="1385">
        <f t="shared" si="24"/>
        <v>12.215991666765346</v>
      </c>
      <c r="BY127" s="473">
        <f t="shared" si="64"/>
        <v>81.59285580658279</v>
      </c>
      <c r="BZ127" s="100">
        <f t="shared" si="65"/>
        <v>0.80492473503260931</v>
      </c>
      <c r="CA127" s="489">
        <f t="shared" si="25"/>
        <v>12.215991666765346</v>
      </c>
      <c r="CB127" s="579">
        <f t="shared" si="26"/>
        <v>0.36909169159072286</v>
      </c>
      <c r="CC127" s="471">
        <f t="shared" si="66"/>
        <v>0.44729098891106789</v>
      </c>
      <c r="CD127" s="100">
        <f t="shared" si="27"/>
        <v>0.36909169159072286</v>
      </c>
      <c r="CE127" s="471">
        <f t="shared" si="67"/>
        <v>0.44729098891106789</v>
      </c>
      <c r="CG127" s="473">
        <f t="shared" si="68"/>
        <v>1970.8378159567483</v>
      </c>
      <c r="CH127" s="474">
        <f t="shared" si="69"/>
        <v>867.85675330097536</v>
      </c>
      <c r="CI127" s="474">
        <f t="shared" si="70"/>
        <v>3305.2290035332353</v>
      </c>
      <c r="CJ127" s="474">
        <f t="shared" si="71"/>
        <v>4184.0044879902052</v>
      </c>
      <c r="CK127" s="474">
        <f t="shared" si="72"/>
        <v>50.358551288061392</v>
      </c>
      <c r="CL127" s="474">
        <f t="shared" si="73"/>
        <v>10378.286612069225</v>
      </c>
      <c r="CM127" s="576">
        <f t="shared" si="74"/>
        <v>0</v>
      </c>
    </row>
    <row r="128" spans="1:91">
      <c r="A128" s="89">
        <f>'Input data'!A148</f>
        <v>2048</v>
      </c>
      <c r="B128" s="152">
        <f>'Input data'!B148</f>
        <v>74.752759240528661</v>
      </c>
      <c r="C128" s="204">
        <f>'Input data'!C148</f>
        <v>8289.8997424694644</v>
      </c>
      <c r="D128" s="204">
        <f>'Input data'!D148</f>
        <v>8214385.6638518488</v>
      </c>
      <c r="E128" s="579">
        <f t="shared" ref="E128:F130" si="93">E127</f>
        <v>1</v>
      </c>
      <c r="F128" s="100">
        <f t="shared" si="93"/>
        <v>0.37</v>
      </c>
      <c r="G128" s="475">
        <f>B128*F128*'Input data'!$C$9</f>
        <v>846.5468512703444</v>
      </c>
      <c r="H128" s="301">
        <f>'Input data'!I148</f>
        <v>424.26313389388866</v>
      </c>
      <c r="I128" s="474">
        <f>'Input data'!K148</f>
        <v>31714.839902602034</v>
      </c>
      <c r="J128" s="474">
        <f t="shared" si="91"/>
        <v>2228.8062963921584</v>
      </c>
      <c r="K128" s="475">
        <f t="shared" si="77"/>
        <v>12509.664885210746</v>
      </c>
      <c r="L128" s="100">
        <f t="shared" ref="L128:P130" si="94">L127</f>
        <v>0.7</v>
      </c>
      <c r="M128" s="100">
        <f t="shared" si="94"/>
        <v>0.6</v>
      </c>
      <c r="N128" s="100">
        <f t="shared" si="94"/>
        <v>0.9</v>
      </c>
      <c r="O128" s="100">
        <f t="shared" si="94"/>
        <v>0.9</v>
      </c>
      <c r="P128" s="100">
        <f t="shared" si="94"/>
        <v>0.23600000000000002</v>
      </c>
      <c r="Q128" s="473">
        <f t="shared" si="33"/>
        <v>339.58262188029607</v>
      </c>
      <c r="R128" s="474">
        <f t="shared" si="34"/>
        <v>236.971307956489</v>
      </c>
      <c r="S128" s="474">
        <f t="shared" si="35"/>
        <v>693.95012634977684</v>
      </c>
      <c r="T128" s="474">
        <f t="shared" si="36"/>
        <v>467.26257348664376</v>
      </c>
      <c r="U128" s="475">
        <f t="shared" si="37"/>
        <v>0</v>
      </c>
      <c r="V128" s="474">
        <f t="shared" si="38"/>
        <v>1737.7666296732057</v>
      </c>
      <c r="W128" s="579">
        <f t="shared" si="87"/>
        <v>0.5</v>
      </c>
      <c r="X128" s="475">
        <f t="shared" si="39"/>
        <v>3033.4854703020706</v>
      </c>
      <c r="Y128" s="473">
        <f t="shared" si="78"/>
        <v>4771.252099975276</v>
      </c>
      <c r="Z128" s="474">
        <f t="shared" si="79"/>
        <v>9967.2190816276288</v>
      </c>
      <c r="AA128" s="475">
        <f t="shared" si="80"/>
        <v>7738.4127852354704</v>
      </c>
      <c r="AB128" s="938">
        <f t="shared" si="40"/>
        <v>0.77638634426121211</v>
      </c>
      <c r="AC128" s="118" t="str">
        <f t="shared" si="41"/>
        <v>Yes</v>
      </c>
      <c r="AD128" s="938">
        <f t="shared" si="42"/>
        <v>0.77638634426121211</v>
      </c>
      <c r="AE128" s="579">
        <f t="shared" si="10"/>
        <v>0.3706677901680655</v>
      </c>
      <c r="AF128" s="475">
        <f t="shared" si="43"/>
        <v>267.00245560366284</v>
      </c>
      <c r="AG128" s="474">
        <f t="shared" si="44"/>
        <v>2228.8062963921584</v>
      </c>
      <c r="AH128" s="474">
        <f t="shared" si="81"/>
        <v>10431.266104497367</v>
      </c>
      <c r="AI128" s="474">
        <f t="shared" si="82"/>
        <v>6437.6604656145792</v>
      </c>
      <c r="AJ128" s="474">
        <f t="shared" si="11"/>
        <v>861.43741386644547</v>
      </c>
      <c r="AK128" s="474">
        <f t="shared" si="45"/>
        <v>19959.170280370552</v>
      </c>
      <c r="AL128" s="640">
        <f t="shared" si="12"/>
        <v>0</v>
      </c>
      <c r="AM128" s="100">
        <f t="shared" si="46"/>
        <v>0.11166828405608349</v>
      </c>
      <c r="AN128" s="100">
        <f t="shared" si="47"/>
        <v>0.52263024754873255</v>
      </c>
      <c r="AO128" s="100">
        <f t="shared" si="48"/>
        <v>0.32254148720530185</v>
      </c>
      <c r="AP128" s="100">
        <f t="shared" si="49"/>
        <v>4.3159981189882027E-2</v>
      </c>
      <c r="AQ128" s="100">
        <f t="shared" si="50"/>
        <v>1</v>
      </c>
      <c r="AR128" s="473">
        <f t="shared" si="13"/>
        <v>491.96531657019244</v>
      </c>
      <c r="AS128" s="474">
        <f t="shared" si="14"/>
        <v>623.94511604203069</v>
      </c>
      <c r="AT128" s="474">
        <f t="shared" si="15"/>
        <v>118.5065718786821</v>
      </c>
      <c r="AU128" s="474">
        <f t="shared" si="16"/>
        <v>0</v>
      </c>
      <c r="AV128" s="474">
        <f t="shared" si="17"/>
        <v>0</v>
      </c>
      <c r="AW128" s="474">
        <f t="shared" si="18"/>
        <v>0</v>
      </c>
      <c r="AX128" s="474">
        <f t="shared" si="19"/>
        <v>827.61034719596614</v>
      </c>
      <c r="AY128" s="474">
        <f t="shared" si="20"/>
        <v>66.663566233143229</v>
      </c>
      <c r="AZ128" s="474">
        <f t="shared" si="21"/>
        <v>18.739145982461341</v>
      </c>
      <c r="BA128" s="474">
        <f t="shared" si="22"/>
        <v>48.399563958748168</v>
      </c>
      <c r="BB128" s="474">
        <f t="shared" si="23"/>
        <v>32.976668530933082</v>
      </c>
      <c r="BC128" s="475">
        <f t="shared" si="51"/>
        <v>2228.806296392157</v>
      </c>
      <c r="BD128" s="647">
        <f t="shared" si="52"/>
        <v>0</v>
      </c>
      <c r="BE128" s="383">
        <f t="shared" si="53"/>
        <v>0.22073040504531644</v>
      </c>
      <c r="BF128" s="383">
        <f t="shared" si="54"/>
        <v>0.27994586925388332</v>
      </c>
      <c r="BG128" s="383">
        <f t="shared" si="55"/>
        <v>5.3170422243742146E-2</v>
      </c>
      <c r="BH128" s="383">
        <f t="shared" si="56"/>
        <v>0</v>
      </c>
      <c r="BI128" s="383">
        <f t="shared" si="57"/>
        <v>0</v>
      </c>
      <c r="BJ128" s="383">
        <f t="shared" si="58"/>
        <v>0</v>
      </c>
      <c r="BK128" s="383">
        <f t="shared" si="59"/>
        <v>0.44615330345705817</v>
      </c>
      <c r="BL128" s="383">
        <f t="shared" si="60"/>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80.191625382823077</v>
      </c>
      <c r="BW128" s="100">
        <f t="shared" si="63"/>
        <v>0.80151608238477512</v>
      </c>
      <c r="BX128" s="1385">
        <f t="shared" si="24"/>
        <v>8.2143856638518482</v>
      </c>
      <c r="BY128" s="473">
        <f t="shared" si="64"/>
        <v>80.191625382823077</v>
      </c>
      <c r="BZ128" s="100">
        <f t="shared" si="65"/>
        <v>0.80151608238477512</v>
      </c>
      <c r="CA128" s="489">
        <f t="shared" si="25"/>
        <v>8.2143856638518482</v>
      </c>
      <c r="CB128" s="579">
        <f t="shared" si="26"/>
        <v>0.3706677901680655</v>
      </c>
      <c r="CC128" s="471">
        <f t="shared" si="66"/>
        <v>0.44203659562877717</v>
      </c>
      <c r="CD128" s="100">
        <f t="shared" si="27"/>
        <v>0.3706677901680655</v>
      </c>
      <c r="CE128" s="471">
        <f t="shared" si="67"/>
        <v>0.44203659562877717</v>
      </c>
      <c r="CG128" s="473">
        <f t="shared" si="68"/>
        <v>1980.8986276350599</v>
      </c>
      <c r="CH128" s="474">
        <f t="shared" si="69"/>
        <v>872.28702315272039</v>
      </c>
      <c r="CI128" s="474">
        <f t="shared" si="70"/>
        <v>3322.101668695741</v>
      </c>
      <c r="CJ128" s="474">
        <f t="shared" si="71"/>
        <v>4205.3631613797997</v>
      </c>
      <c r="CK128" s="474">
        <f t="shared" si="72"/>
        <v>50.615623634045299</v>
      </c>
      <c r="CL128" s="474">
        <f t="shared" si="73"/>
        <v>10431.266104497367</v>
      </c>
      <c r="CM128" s="576">
        <f t="shared" si="74"/>
        <v>0</v>
      </c>
    </row>
    <row r="129" spans="1:91">
      <c r="A129" s="89">
        <f>'Input data'!A149</f>
        <v>2049</v>
      </c>
      <c r="B129" s="152">
        <f>'Input data'!B149</f>
        <v>75.134360114565098</v>
      </c>
      <c r="C129" s="204">
        <f>'Input data'!C149</f>
        <v>8319.7266636271434</v>
      </c>
      <c r="D129" s="204">
        <f>'Input data'!D149</f>
        <v>4212779.6609383523</v>
      </c>
      <c r="E129" s="579">
        <f t="shared" si="93"/>
        <v>1</v>
      </c>
      <c r="F129" s="100">
        <f t="shared" si="93"/>
        <v>0.37</v>
      </c>
      <c r="G129" s="475">
        <f>B129*F129*'Input data'!$C$9</f>
        <v>850.86833748221932</v>
      </c>
      <c r="H129" s="301">
        <f>'Input data'!I149</f>
        <v>424.26313389388866</v>
      </c>
      <c r="I129" s="474">
        <f>'Input data'!K149</f>
        <v>31876.739085317382</v>
      </c>
      <c r="J129" s="474">
        <f t="shared" si="91"/>
        <v>2228.8062963921584</v>
      </c>
      <c r="K129" s="475">
        <f t="shared" si="77"/>
        <v>12584.902422152543</v>
      </c>
      <c r="L129" s="100">
        <f t="shared" si="94"/>
        <v>0.7</v>
      </c>
      <c r="M129" s="100">
        <f t="shared" si="94"/>
        <v>0.6</v>
      </c>
      <c r="N129" s="100">
        <f t="shared" si="94"/>
        <v>0.9</v>
      </c>
      <c r="O129" s="100">
        <f t="shared" si="94"/>
        <v>0.9</v>
      </c>
      <c r="P129" s="100">
        <f t="shared" si="94"/>
        <v>0.23600000000000002</v>
      </c>
      <c r="Q129" s="473">
        <f t="shared" si="33"/>
        <v>341.31613682521129</v>
      </c>
      <c r="R129" s="474">
        <f t="shared" si="34"/>
        <v>238.18100856361684</v>
      </c>
      <c r="S129" s="474">
        <f t="shared" si="35"/>
        <v>697.49263069935796</v>
      </c>
      <c r="T129" s="474">
        <f t="shared" si="36"/>
        <v>469.64787415324872</v>
      </c>
      <c r="U129" s="475">
        <f t="shared" si="37"/>
        <v>0</v>
      </c>
      <c r="V129" s="474">
        <f t="shared" si="38"/>
        <v>1746.6376502414348</v>
      </c>
      <c r="W129" s="579">
        <f t="shared" si="87"/>
        <v>0.5</v>
      </c>
      <c r="X129" s="475">
        <f t="shared" si="39"/>
        <v>3033.4854703020706</v>
      </c>
      <c r="Y129" s="473">
        <f t="shared" si="78"/>
        <v>4780.1231205435051</v>
      </c>
      <c r="Z129" s="474">
        <f t="shared" si="79"/>
        <v>10033.585598001197</v>
      </c>
      <c r="AA129" s="475">
        <f t="shared" si="80"/>
        <v>7804.7793016090382</v>
      </c>
      <c r="AB129" s="938">
        <f t="shared" si="40"/>
        <v>0.77786542262258052</v>
      </c>
      <c r="AC129" s="118" t="str">
        <f t="shared" si="41"/>
        <v>Yes</v>
      </c>
      <c r="AD129" s="938">
        <f t="shared" si="42"/>
        <v>0.77786542262258052</v>
      </c>
      <c r="AE129" s="579">
        <f t="shared" si="10"/>
        <v>0.37223532617222466</v>
      </c>
      <c r="AF129" s="475">
        <f t="shared" si="43"/>
        <v>266.33740786604682</v>
      </c>
      <c r="AG129" s="474">
        <f t="shared" si="44"/>
        <v>2228.8062963921584</v>
      </c>
      <c r="AH129" s="474">
        <f t="shared" si="81"/>
        <v>10484.516048756612</v>
      </c>
      <c r="AI129" s="474">
        <f t="shared" si="82"/>
        <v>6437.6604656145792</v>
      </c>
      <c r="AJ129" s="474">
        <f t="shared" si="11"/>
        <v>860.10790382401149</v>
      </c>
      <c r="AK129" s="474">
        <f t="shared" si="45"/>
        <v>20011.090714587364</v>
      </c>
      <c r="AL129" s="640">
        <f t="shared" si="12"/>
        <v>0</v>
      </c>
      <c r="AM129" s="100">
        <f t="shared" si="46"/>
        <v>0.11137855143335285</v>
      </c>
      <c r="AN129" s="100">
        <f t="shared" si="47"/>
        <v>0.52393526161538895</v>
      </c>
      <c r="AO129" s="100">
        <f t="shared" si="48"/>
        <v>0.3217046265709923</v>
      </c>
      <c r="AP129" s="100">
        <f t="shared" si="49"/>
        <v>4.2981560380265717E-2</v>
      </c>
      <c r="AQ129" s="100">
        <f t="shared" si="50"/>
        <v>0.99999999999999978</v>
      </c>
      <c r="AR129" s="473">
        <f t="shared" si="13"/>
        <v>492.72254614683573</v>
      </c>
      <c r="AS129" s="474">
        <f t="shared" si="14"/>
        <v>624.90548800354009</v>
      </c>
      <c r="AT129" s="474">
        <f t="shared" si="15"/>
        <v>118.32367330140767</v>
      </c>
      <c r="AU129" s="474">
        <f t="shared" si="16"/>
        <v>0</v>
      </c>
      <c r="AV129" s="474">
        <f t="shared" si="17"/>
        <v>0</v>
      </c>
      <c r="AW129" s="474">
        <f t="shared" si="18"/>
        <v>0</v>
      </c>
      <c r="AX129" s="474">
        <f t="shared" si="19"/>
        <v>826.33304457350323</v>
      </c>
      <c r="AY129" s="474">
        <f t="shared" si="20"/>
        <v>66.560680197147207</v>
      </c>
      <c r="AZ129" s="474">
        <f t="shared" si="21"/>
        <v>18.710224690711922</v>
      </c>
      <c r="BA129" s="474">
        <f t="shared" si="22"/>
        <v>48.324865895607729</v>
      </c>
      <c r="BB129" s="474">
        <f t="shared" si="23"/>
        <v>32.925773583404499</v>
      </c>
      <c r="BC129" s="475">
        <f t="shared" si="51"/>
        <v>2228.8062963921579</v>
      </c>
      <c r="BD129" s="647">
        <f t="shared" si="52"/>
        <v>0</v>
      </c>
      <c r="BE129" s="383">
        <f t="shared" si="53"/>
        <v>0.22107015174195349</v>
      </c>
      <c r="BF129" s="383">
        <f t="shared" si="54"/>
        <v>0.28037675997914002</v>
      </c>
      <c r="BG129" s="383">
        <f t="shared" si="55"/>
        <v>5.3088361017708037E-2</v>
      </c>
      <c r="BH129" s="383">
        <f t="shared" si="56"/>
        <v>0</v>
      </c>
      <c r="BI129" s="383">
        <f t="shared" si="57"/>
        <v>0</v>
      </c>
      <c r="BJ129" s="383">
        <f t="shared" si="58"/>
        <v>0</v>
      </c>
      <c r="BK129" s="383">
        <f t="shared" si="59"/>
        <v>0.44546472726119851</v>
      </c>
      <c r="BL129" s="383">
        <f t="shared" si="60"/>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78.79584232579802</v>
      </c>
      <c r="BW129" s="100">
        <f t="shared" si="63"/>
        <v>0.79800015462612761</v>
      </c>
      <c r="BX129" s="1385">
        <f t="shared" si="24"/>
        <v>4.2127796609383523</v>
      </c>
      <c r="BY129" s="473">
        <f t="shared" si="64"/>
        <v>78.79584232579802</v>
      </c>
      <c r="BZ129" s="100">
        <f t="shared" si="65"/>
        <v>0.79800015462612761</v>
      </c>
      <c r="CA129" s="489">
        <f t="shared" si="25"/>
        <v>4.2127796609383523</v>
      </c>
      <c r="CB129" s="579">
        <f t="shared" si="26"/>
        <v>0.37223532617222466</v>
      </c>
      <c r="CC129" s="471">
        <f t="shared" si="66"/>
        <v>0.43642990435828954</v>
      </c>
      <c r="CD129" s="100">
        <f t="shared" si="27"/>
        <v>0.37223532617222466</v>
      </c>
      <c r="CE129" s="471">
        <f t="shared" si="67"/>
        <v>0.43642990435828954</v>
      </c>
      <c r="CG129" s="473">
        <f t="shared" si="68"/>
        <v>1991.0107981470655</v>
      </c>
      <c r="CH129" s="474">
        <f t="shared" si="69"/>
        <v>876.73990882312989</v>
      </c>
      <c r="CI129" s="474">
        <f t="shared" si="70"/>
        <v>3339.0604661139491</v>
      </c>
      <c r="CJ129" s="474">
        <f t="shared" si="71"/>
        <v>4226.830867379248</v>
      </c>
      <c r="CK129" s="474">
        <f t="shared" si="72"/>
        <v>50.874008293218921</v>
      </c>
      <c r="CL129" s="474">
        <f t="shared" si="73"/>
        <v>10484.516048756612</v>
      </c>
      <c r="CM129" s="576">
        <f t="shared" si="74"/>
        <v>0</v>
      </c>
    </row>
    <row r="130" spans="1:91" ht="15" thickBot="1">
      <c r="A130" s="141">
        <f>'Input data'!A150</f>
        <v>2050</v>
      </c>
      <c r="B130" s="593">
        <f>'Input data'!B150</f>
        <v>75.517908999999989</v>
      </c>
      <c r="C130" s="207">
        <f>'Input data'!C150</f>
        <v>8341.54221182129</v>
      </c>
      <c r="D130" s="207">
        <f>'Input data'!D150</f>
        <v>211173.65802485455</v>
      </c>
      <c r="E130" s="580">
        <f t="shared" si="93"/>
        <v>1</v>
      </c>
      <c r="F130" s="581">
        <f t="shared" si="93"/>
        <v>0.37</v>
      </c>
      <c r="G130" s="589">
        <f>B130*F130*'Input data'!$C$9</f>
        <v>855.21188418968472</v>
      </c>
      <c r="H130" s="584">
        <f>'Input data'!I150</f>
        <v>424.26313389388866</v>
      </c>
      <c r="I130" s="595">
        <f>'Input data'!K150</f>
        <v>32039.464737453494</v>
      </c>
      <c r="J130" s="595">
        <f t="shared" si="91"/>
        <v>2228.8062963921584</v>
      </c>
      <c r="K130" s="589">
        <f t="shared" si="77"/>
        <v>12660.52403468097</v>
      </c>
      <c r="L130" s="581">
        <f t="shared" si="94"/>
        <v>0.7</v>
      </c>
      <c r="M130" s="581">
        <f t="shared" si="94"/>
        <v>0.6</v>
      </c>
      <c r="N130" s="581">
        <f t="shared" si="94"/>
        <v>0.9</v>
      </c>
      <c r="O130" s="581">
        <f t="shared" si="94"/>
        <v>0.9</v>
      </c>
      <c r="P130" s="581">
        <f t="shared" si="94"/>
        <v>0.23600000000000002</v>
      </c>
      <c r="Q130" s="598">
        <f t="shared" si="33"/>
        <v>343.0585010865243</v>
      </c>
      <c r="R130" s="595">
        <f t="shared" si="34"/>
        <v>239.39688449876871</v>
      </c>
      <c r="S130" s="595">
        <f t="shared" si="35"/>
        <v>701.05321896677469</v>
      </c>
      <c r="T130" s="595">
        <f t="shared" si="36"/>
        <v>472.04535139806285</v>
      </c>
      <c r="U130" s="589">
        <f t="shared" si="37"/>
        <v>0</v>
      </c>
      <c r="V130" s="595">
        <f t="shared" si="38"/>
        <v>1755.5539559501306</v>
      </c>
      <c r="W130" s="580">
        <f t="shared" si="87"/>
        <v>0.5</v>
      </c>
      <c r="X130" s="589">
        <f t="shared" si="39"/>
        <v>3033.4854703020706</v>
      </c>
      <c r="Y130" s="598">
        <f t="shared" si="78"/>
        <v>4789.0394262522013</v>
      </c>
      <c r="Z130" s="595">
        <f t="shared" si="79"/>
        <v>10100.290904820926</v>
      </c>
      <c r="AA130" s="589">
        <f t="shared" si="80"/>
        <v>7871.4846084287674</v>
      </c>
      <c r="AB130" s="941">
        <f t="shared" si="40"/>
        <v>0.77933246503540443</v>
      </c>
      <c r="AC130" s="951" t="str">
        <f t="shared" si="41"/>
        <v>Yes</v>
      </c>
      <c r="AD130" s="941">
        <f t="shared" si="42"/>
        <v>0.77933246503540443</v>
      </c>
      <c r="AE130" s="580">
        <f t="shared" si="10"/>
        <v>0.37379435129462157</v>
      </c>
      <c r="AF130" s="589">
        <f t="shared" si="43"/>
        <v>265.67597098179937</v>
      </c>
      <c r="AG130" s="595">
        <f t="shared" si="44"/>
        <v>2228.8062963921584</v>
      </c>
      <c r="AH130" s="595">
        <f t="shared" si="81"/>
        <v>10538.037825460278</v>
      </c>
      <c r="AI130" s="595">
        <f t="shared" si="82"/>
        <v>6437.6604656145792</v>
      </c>
      <c r="AJ130" s="595">
        <f t="shared" si="11"/>
        <v>858.78921262314645</v>
      </c>
      <c r="AK130" s="595">
        <f t="shared" si="45"/>
        <v>20063.293800090163</v>
      </c>
      <c r="AL130" s="641">
        <f t="shared" si="12"/>
        <v>0</v>
      </c>
      <c r="AM130" s="581">
        <f t="shared" si="46"/>
        <v>0.11108875335226075</v>
      </c>
      <c r="AN130" s="581">
        <f t="shared" si="47"/>
        <v>0.52523967053769216</v>
      </c>
      <c r="AO130" s="581">
        <f t="shared" si="48"/>
        <v>0.32086757686744583</v>
      </c>
      <c r="AP130" s="581">
        <f t="shared" si="49"/>
        <v>4.2803999242601289E-2</v>
      </c>
      <c r="AQ130" s="581">
        <f t="shared" si="50"/>
        <v>1</v>
      </c>
      <c r="AR130" s="598">
        <f t="shared" si="13"/>
        <v>493.47361379422671</v>
      </c>
      <c r="AS130" s="595">
        <f t="shared" si="14"/>
        <v>625.85804497173024</v>
      </c>
      <c r="AT130" s="595">
        <f t="shared" si="15"/>
        <v>118.14226305492249</v>
      </c>
      <c r="AU130" s="595">
        <f t="shared" si="16"/>
        <v>0</v>
      </c>
      <c r="AV130" s="595">
        <f t="shared" si="17"/>
        <v>0</v>
      </c>
      <c r="AW130" s="595">
        <f t="shared" si="18"/>
        <v>0</v>
      </c>
      <c r="AX130" s="595">
        <f t="shared" si="19"/>
        <v>825.06613595655131</v>
      </c>
      <c r="AY130" s="595">
        <f t="shared" si="20"/>
        <v>66.458631392678186</v>
      </c>
      <c r="AZ130" s="595">
        <f t="shared" si="21"/>
        <v>18.681538744964712</v>
      </c>
      <c r="BA130" s="595">
        <f t="shared" si="22"/>
        <v>48.250775685348998</v>
      </c>
      <c r="BB130" s="595">
        <f t="shared" si="23"/>
        <v>32.875292791735141</v>
      </c>
      <c r="BC130" s="589">
        <f t="shared" si="51"/>
        <v>2228.8062963921579</v>
      </c>
      <c r="BD130" s="648">
        <f t="shared" si="52"/>
        <v>0</v>
      </c>
      <c r="BE130" s="607">
        <f t="shared" si="53"/>
        <v>0.22140713376170404</v>
      </c>
      <c r="BF130" s="607">
        <f>AS130/BC130</f>
        <v>0.28080414434615841</v>
      </c>
      <c r="BG130" s="607">
        <f t="shared" si="55"/>
        <v>5.3006967562036801E-2</v>
      </c>
      <c r="BH130" s="607">
        <f t="shared" si="56"/>
        <v>0</v>
      </c>
      <c r="BI130" s="607">
        <f t="shared" si="57"/>
        <v>0</v>
      </c>
      <c r="BJ130" s="607">
        <f t="shared" si="58"/>
        <v>0</v>
      </c>
      <c r="BK130" s="607">
        <f t="shared" si="59"/>
        <v>0.44478175433010064</v>
      </c>
      <c r="BL130" s="607">
        <f t="shared" si="60"/>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77.359263236759531</v>
      </c>
      <c r="BW130" s="581">
        <f t="shared" si="63"/>
        <v>0.79424897161699004</v>
      </c>
      <c r="BX130" s="1386">
        <f t="shared" si="24"/>
        <v>0.21117365802485455</v>
      </c>
      <c r="BY130" s="598">
        <f t="shared" si="64"/>
        <v>77.359263236759531</v>
      </c>
      <c r="BZ130" s="581">
        <f t="shared" si="65"/>
        <v>0.79424897161699004</v>
      </c>
      <c r="CA130" s="602">
        <f t="shared" si="25"/>
        <v>0.21117365802485455</v>
      </c>
      <c r="CB130" s="580">
        <f t="shared" si="26"/>
        <v>0.37379435129462157</v>
      </c>
      <c r="CC130" s="582">
        <f t="shared" si="66"/>
        <v>0.43028001041466668</v>
      </c>
      <c r="CD130" s="581">
        <f t="shared" si="27"/>
        <v>0.37379435129462157</v>
      </c>
      <c r="CE130" s="582">
        <f t="shared" si="67"/>
        <v>0.43028001041466668</v>
      </c>
      <c r="CG130" s="598">
        <f t="shared" si="68"/>
        <v>2001.1745896713924</v>
      </c>
      <c r="CH130" s="595">
        <f t="shared" si="69"/>
        <v>881.21552576233921</v>
      </c>
      <c r="CI130" s="595">
        <f t="shared" si="70"/>
        <v>3356.1058354792422</v>
      </c>
      <c r="CJ130" s="595">
        <f t="shared" si="71"/>
        <v>4248.4081625825747</v>
      </c>
      <c r="CK130" s="595">
        <f t="shared" si="72"/>
        <v>51.13371196473107</v>
      </c>
      <c r="CL130" s="595">
        <f t="shared" si="73"/>
        <v>10538.037825460278</v>
      </c>
      <c r="CM130" s="583">
        <f t="shared" si="74"/>
        <v>0</v>
      </c>
    </row>
    <row r="131" spans="1:91">
      <c r="AM131" s="474"/>
      <c r="AN131" s="301"/>
      <c r="AO131" s="301"/>
      <c r="AP131" s="301"/>
      <c r="AS131" s="100"/>
    </row>
    <row r="132" spans="1:91" ht="23.4">
      <c r="A132" s="610" t="s">
        <v>663</v>
      </c>
      <c r="AM132" s="474"/>
      <c r="AO132" s="301"/>
      <c r="AS132" s="100"/>
    </row>
    <row r="133" spans="1:91" ht="15" thickBot="1">
      <c r="AM133" s="474"/>
    </row>
    <row r="134" spans="1:91" ht="21.6" customHeight="1" thickBot="1">
      <c r="A134" s="1521" t="s">
        <v>602</v>
      </c>
      <c r="B134" s="1522"/>
      <c r="C134" s="1522"/>
      <c r="D134" s="1523"/>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43.2" customHeight="1">
      <c r="A135" s="151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54"/>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4436.7667702664276</v>
      </c>
      <c r="D139" s="475">
        <f>'Input data'!D119</f>
        <v>53169997.747000799</v>
      </c>
      <c r="E139" s="473">
        <f>'Input data'!J119*C139</f>
        <v>53378.943448604135</v>
      </c>
      <c r="F139" s="474">
        <f>'Input data'!L119</f>
        <v>106548.94119560494</v>
      </c>
      <c r="G139" s="474">
        <f>G137*0.89</f>
        <v>60911.340429377713</v>
      </c>
      <c r="H139" s="474">
        <f t="shared" si="95"/>
        <v>19615.381990165086</v>
      </c>
      <c r="I139" s="475">
        <f t="shared" si="98"/>
        <v>53169.997747000802</v>
      </c>
      <c r="J139" s="579">
        <f t="shared" ref="J139:J149" si="122">($J$150-$J$137)/($A$150-$A$137)+J138</f>
        <v>0.11361731727283289</v>
      </c>
      <c r="K139" s="474">
        <f t="shared" ref="K139:K170" si="123">(I139)*J139-(I139)*$J$137</f>
        <v>2768.5393809788216</v>
      </c>
      <c r="L139" s="474">
        <f t="shared" si="99"/>
        <v>0</v>
      </c>
      <c r="M139" s="475">
        <f t="shared" ref="M139:M170" si="124">L139+K139</f>
        <v>2768.5393809788216</v>
      </c>
      <c r="N139" s="579">
        <v>0.1</v>
      </c>
      <c r="O139" s="475">
        <f t="shared" si="100"/>
        <v>150.38340000000005</v>
      </c>
      <c r="P139" s="1043">
        <f>O139+M139</f>
        <v>2918.9227809788217</v>
      </c>
      <c r="Q139" s="467">
        <f t="shared" si="101"/>
        <v>77607.799638563971</v>
      </c>
      <c r="R139" s="467">
        <f t="shared" ref="R139:R170" si="125">Q139-G139</f>
        <v>16696.459209186258</v>
      </c>
      <c r="S139" s="1255">
        <f t="shared" si="102"/>
        <v>0.54780504374984418</v>
      </c>
      <c r="T139" s="118" t="str">
        <f t="shared" si="103"/>
        <v>Yes</v>
      </c>
      <c r="U139" s="1255">
        <f t="shared" si="104"/>
        <v>0.54780504374984418</v>
      </c>
      <c r="V139" s="1268">
        <f t="shared" si="96"/>
        <v>89852.481986418687</v>
      </c>
      <c r="W139" s="1269">
        <f t="shared" si="97"/>
        <v>0.15670225364825097</v>
      </c>
      <c r="X139" s="473">
        <f t="shared" si="105"/>
        <v>60911.340429377713</v>
      </c>
      <c r="Y139" s="474">
        <f t="shared" si="106"/>
        <v>10315.519074327111</v>
      </c>
      <c r="Z139" s="474">
        <f t="shared" si="107"/>
        <v>2562.5510023172546</v>
      </c>
      <c r="AA139" s="474">
        <f t="shared" si="108"/>
        <v>0</v>
      </c>
      <c r="AB139" s="474">
        <f t="shared" si="109"/>
        <v>16063.071480396609</v>
      </c>
      <c r="AC139" s="474">
        <f t="shared" si="110"/>
        <v>89852.481986418687</v>
      </c>
      <c r="AD139" s="1240">
        <f t="shared" si="111"/>
        <v>0</v>
      </c>
      <c r="AE139" s="100">
        <f t="shared" si="112"/>
        <v>0.6779038161526193</v>
      </c>
      <c r="AF139" s="100">
        <f t="shared" si="113"/>
        <v>0.11480505430986664</v>
      </c>
      <c r="AG139" s="100">
        <f t="shared" si="114"/>
        <v>2.8519534971828461E-2</v>
      </c>
      <c r="AH139" s="100">
        <f t="shared" ref="AH139:AH170" si="126">AA139/AC139</f>
        <v>0</v>
      </c>
      <c r="AI139" s="100">
        <f t="shared" si="115"/>
        <v>0.17877159456568559</v>
      </c>
      <c r="AJ139" s="471">
        <f t="shared" si="116"/>
        <v>1</v>
      </c>
      <c r="AK139" s="1250">
        <f t="shared" si="117"/>
        <v>47128.965243584003</v>
      </c>
      <c r="AL139" s="1251">
        <f t="shared" si="118"/>
        <v>12882.581081661943</v>
      </c>
      <c r="AM139" s="1251">
        <f t="shared" si="119"/>
        <v>899.79410413176493</v>
      </c>
      <c r="AN139" s="1251">
        <f t="shared" si="120"/>
        <v>60911.340429377713</v>
      </c>
      <c r="AO139" s="1022">
        <f t="shared" si="121"/>
        <v>0</v>
      </c>
      <c r="AV139" s="119"/>
      <c r="AW139" s="119"/>
    </row>
    <row r="140" spans="1:91">
      <c r="A140" s="89">
        <f>'Input data'!A120</f>
        <v>2020</v>
      </c>
      <c r="B140" s="152">
        <f>'Input data'!B120</f>
        <v>59.308690000000006</v>
      </c>
      <c r="C140" s="204">
        <f>'Input data'!C120</f>
        <v>4197.6296598339768</v>
      </c>
      <c r="D140" s="475">
        <f>'Input data'!D120</f>
        <v>50963260.465782054</v>
      </c>
      <c r="E140" s="473">
        <f>'Input data'!J120*C140</f>
        <v>50501.873961927049</v>
      </c>
      <c r="F140" s="474">
        <f>'Input data'!L120</f>
        <v>101465.1344277091</v>
      </c>
      <c r="G140" s="474">
        <f>G137*0.81</f>
        <v>55436.163761568481</v>
      </c>
      <c r="H140" s="474">
        <f t="shared" si="95"/>
        <v>21368.758110647708</v>
      </c>
      <c r="I140" s="475">
        <f t="shared" si="98"/>
        <v>50963.260465782056</v>
      </c>
      <c r="J140" s="579">
        <f t="shared" si="122"/>
        <v>0.13965210661166627</v>
      </c>
      <c r="K140" s="474">
        <f t="shared" si="123"/>
        <v>3980.4532507401927</v>
      </c>
      <c r="L140" s="474">
        <f t="shared" si="99"/>
        <v>0</v>
      </c>
      <c r="M140" s="475">
        <f t="shared" si="124"/>
        <v>3980.4532507401927</v>
      </c>
      <c r="N140" s="579">
        <f>($N$142-$N$137)/($A$102-$A$97)+N139</f>
        <v>0.2</v>
      </c>
      <c r="O140" s="475">
        <f t="shared" si="100"/>
        <v>300.7668000000001</v>
      </c>
      <c r="P140" s="1043">
        <f t="shared" ref="P140:P170" si="127">O140+M140</f>
        <v>4281.2200507401931</v>
      </c>
      <c r="Q140" s="467">
        <f t="shared" si="101"/>
        <v>72523.701821476003</v>
      </c>
      <c r="R140" s="467">
        <f t="shared" si="125"/>
        <v>17087.538059907522</v>
      </c>
      <c r="S140" s="1255">
        <f t="shared" si="102"/>
        <v>0.59585031883972595</v>
      </c>
      <c r="T140" s="118" t="str">
        <f t="shared" si="103"/>
        <v>Yes</v>
      </c>
      <c r="U140" s="1255">
        <f t="shared" si="104"/>
        <v>0.59585031883972595</v>
      </c>
      <c r="V140" s="1268">
        <f t="shared" si="96"/>
        <v>84377.596367801583</v>
      </c>
      <c r="W140" s="1269">
        <f t="shared" si="97"/>
        <v>0.1684079773439997</v>
      </c>
      <c r="X140" s="473">
        <f t="shared" si="105"/>
        <v>55436.163761568474</v>
      </c>
      <c r="Y140" s="474">
        <f t="shared" si="106"/>
        <v>11161.222878141903</v>
      </c>
      <c r="Z140" s="474">
        <f t="shared" si="107"/>
        <v>2582.9210795159115</v>
      </c>
      <c r="AA140" s="474">
        <f t="shared" si="108"/>
        <v>0</v>
      </c>
      <c r="AB140" s="474">
        <f t="shared" si="109"/>
        <v>15197.288648575301</v>
      </c>
      <c r="AC140" s="474">
        <f t="shared" si="110"/>
        <v>84377.596367801583</v>
      </c>
      <c r="AD140" s="1240">
        <f t="shared" si="111"/>
        <v>0</v>
      </c>
      <c r="AE140" s="100">
        <f t="shared" si="112"/>
        <v>0.65700098305624244</v>
      </c>
      <c r="AF140" s="100">
        <f t="shared" si="113"/>
        <v>0.13227708963751683</v>
      </c>
      <c r="AG140" s="100">
        <f t="shared" si="114"/>
        <v>3.0611456010870109E-2</v>
      </c>
      <c r="AH140" s="100">
        <f t="shared" si="126"/>
        <v>0</v>
      </c>
      <c r="AI140" s="100">
        <f t="shared" si="115"/>
        <v>0.18011047129537069</v>
      </c>
      <c r="AJ140" s="471">
        <f t="shared" si="116"/>
        <v>1</v>
      </c>
      <c r="AK140" s="1250">
        <f t="shared" si="117"/>
        <v>43846.133781936544</v>
      </c>
      <c r="AL140" s="1251">
        <f t="shared" si="118"/>
        <v>10893.236471236294</v>
      </c>
      <c r="AM140" s="1251">
        <f t="shared" si="119"/>
        <v>696.79350839563915</v>
      </c>
      <c r="AN140" s="1251">
        <f t="shared" si="120"/>
        <v>55436.163761568474</v>
      </c>
      <c r="AO140" s="1022">
        <f t="shared" si="121"/>
        <v>0</v>
      </c>
      <c r="AV140" s="119"/>
      <c r="AW140" s="119"/>
    </row>
    <row r="141" spans="1:91">
      <c r="A141" s="89">
        <f>'Input data'!A121</f>
        <v>2021</v>
      </c>
      <c r="B141" s="152">
        <f>'Input data'!B121</f>
        <v>59.991580449204264</v>
      </c>
      <c r="C141" s="204">
        <f>'Input data'!C121</f>
        <v>4326.0661578199733</v>
      </c>
      <c r="D141" s="475">
        <f>'Input data'!D121</f>
        <v>50546075.397081107</v>
      </c>
      <c r="E141" s="473">
        <f>'Input data'!J121*C141</f>
        <v>52047.099329344681</v>
      </c>
      <c r="F141" s="474">
        <f>'Input data'!L121</f>
        <v>102593.17472642579</v>
      </c>
      <c r="G141" s="474">
        <f>G137*0.65</f>
        <v>44485.810425950018</v>
      </c>
      <c r="H141" s="474">
        <f t="shared" si="95"/>
        <v>32814.264492545721</v>
      </c>
      <c r="I141" s="475">
        <f t="shared" si="98"/>
        <v>50546.075397081106</v>
      </c>
      <c r="J141" s="579">
        <f t="shared" si="122"/>
        <v>0.16568689595049965</v>
      </c>
      <c r="K141" s="474">
        <f t="shared" si="123"/>
        <v>5263.8256994711801</v>
      </c>
      <c r="L141" s="474">
        <f t="shared" si="99"/>
        <v>0</v>
      </c>
      <c r="M141" s="475">
        <f t="shared" si="124"/>
        <v>5263.8256994711801</v>
      </c>
      <c r="N141" s="579">
        <v>0.4</v>
      </c>
      <c r="O141" s="475">
        <f t="shared" si="100"/>
        <v>601.53360000000021</v>
      </c>
      <c r="P141" s="1043">
        <f t="shared" si="127"/>
        <v>5865.3592994711798</v>
      </c>
      <c r="Q141" s="467">
        <f t="shared" si="101"/>
        <v>71434.715619024559</v>
      </c>
      <c r="R141" s="467">
        <f t="shared" si="125"/>
        <v>26948.905193074541</v>
      </c>
      <c r="S141" s="1255">
        <f t="shared" si="102"/>
        <v>0.92090623727846399</v>
      </c>
      <c r="T141" s="118" t="str">
        <f t="shared" si="103"/>
        <v>Yes</v>
      </c>
      <c r="U141" s="1255">
        <f t="shared" si="104"/>
        <v>0.92090623727846399</v>
      </c>
      <c r="V141" s="1268">
        <f t="shared" si="96"/>
        <v>75644.269533351253</v>
      </c>
      <c r="W141" s="1269">
        <f t="shared" si="97"/>
        <v>0.2626773687912114</v>
      </c>
      <c r="X141" s="473">
        <f t="shared" si="105"/>
        <v>44485.810425950018</v>
      </c>
      <c r="Y141" s="474">
        <f t="shared" si="106"/>
        <v>12542.657304486011</v>
      </c>
      <c r="Z141" s="474">
        <f t="shared" si="107"/>
        <v>2953.515836548303</v>
      </c>
      <c r="AA141" s="474">
        <f t="shared" si="108"/>
        <v>0</v>
      </c>
      <c r="AB141" s="474">
        <f t="shared" si="109"/>
        <v>15662.285966366921</v>
      </c>
      <c r="AC141" s="474">
        <f t="shared" si="110"/>
        <v>75644.269533351253</v>
      </c>
      <c r="AD141" s="1240">
        <f t="shared" si="111"/>
        <v>0</v>
      </c>
      <c r="AE141" s="100">
        <f t="shared" si="112"/>
        <v>0.58809227322019952</v>
      </c>
      <c r="AF141" s="100">
        <f t="shared" si="113"/>
        <v>0.16581107044673099</v>
      </c>
      <c r="AG141" s="100">
        <f t="shared" si="114"/>
        <v>3.9044806100561387E-2</v>
      </c>
      <c r="AH141" s="100">
        <f t="shared" si="126"/>
        <v>0</v>
      </c>
      <c r="AI141" s="100">
        <f t="shared" si="115"/>
        <v>0.20705185023250813</v>
      </c>
      <c r="AJ141" s="471">
        <f t="shared" si="116"/>
        <v>1</v>
      </c>
      <c r="AK141" s="1250">
        <f t="shared" si="117"/>
        <v>42171.253062058822</v>
      </c>
      <c r="AL141" s="1251">
        <f t="shared" si="118"/>
        <v>2197.080474396314</v>
      </c>
      <c r="AM141" s="1251">
        <f t="shared" si="119"/>
        <v>117.47688949488752</v>
      </c>
      <c r="AN141" s="1251">
        <f t="shared" si="120"/>
        <v>44485.810425950025</v>
      </c>
      <c r="AO141" s="1022">
        <f t="shared" si="121"/>
        <v>0</v>
      </c>
      <c r="AV141" s="119"/>
      <c r="AW141" s="119"/>
    </row>
    <row r="142" spans="1:91">
      <c r="A142" s="89">
        <f>'Input data'!A122</f>
        <v>2022</v>
      </c>
      <c r="B142" s="152">
        <f>'Input data'!B122</f>
        <v>60.682333816399378</v>
      </c>
      <c r="C142" s="204">
        <f>'Input data'!C122</f>
        <v>4414.4786843532656</v>
      </c>
      <c r="D142" s="475">
        <f>'Input data'!D122</f>
        <v>50359792.84713313</v>
      </c>
      <c r="E142" s="473">
        <f>'Input data'!J122*C142</f>
        <v>53110.794470048553</v>
      </c>
      <c r="F142" s="474">
        <f>'Input data'!L122</f>
        <v>103470.58731718169</v>
      </c>
      <c r="G142" s="474">
        <f>G137*(1-E4)</f>
        <v>34219.854173807704</v>
      </c>
      <c r="H142" s="474">
        <f t="shared" si="95"/>
        <v>43515.759309397268</v>
      </c>
      <c r="I142" s="475">
        <f t="shared" si="98"/>
        <v>50359.792847133132</v>
      </c>
      <c r="J142" s="579">
        <f t="shared" si="122"/>
        <v>0.19172168528933303</v>
      </c>
      <c r="K142" s="474">
        <f t="shared" si="123"/>
        <v>6555.5329896119956</v>
      </c>
      <c r="L142" s="474">
        <f t="shared" si="99"/>
        <v>0</v>
      </c>
      <c r="M142" s="475">
        <f t="shared" si="124"/>
        <v>6555.5329896119956</v>
      </c>
      <c r="N142" s="579">
        <f>$E$26</f>
        <v>0.5</v>
      </c>
      <c r="O142" s="475">
        <f t="shared" si="100"/>
        <v>751.91700000000026</v>
      </c>
      <c r="P142" s="1043">
        <f t="shared" si="127"/>
        <v>7307.449989611996</v>
      </c>
      <c r="Q142" s="467">
        <f t="shared" si="101"/>
        <v>70428.163493592976</v>
      </c>
      <c r="R142" s="467">
        <f t="shared" si="125"/>
        <v>36208.309319785272</v>
      </c>
      <c r="S142" s="1255">
        <f t="shared" si="102"/>
        <v>1.2181737850093515</v>
      </c>
      <c r="T142" s="118" t="str">
        <f t="shared" si="103"/>
        <v>No</v>
      </c>
      <c r="U142" s="1255">
        <f t="shared" si="104"/>
        <v>1</v>
      </c>
      <c r="V142" s="1268">
        <f t="shared" si="96"/>
        <v>73747.152315247789</v>
      </c>
      <c r="W142" s="1269">
        <f t="shared" si="97"/>
        <v>0.28726458187406279</v>
      </c>
      <c r="X142" s="473">
        <f t="shared" si="105"/>
        <v>40704.728491659065</v>
      </c>
      <c r="Y142" s="474">
        <f t="shared" si="106"/>
        <v>13908.078054615326</v>
      </c>
      <c r="Z142" s="474">
        <f t="shared" si="107"/>
        <v>3151.9670848679066</v>
      </c>
      <c r="AA142" s="474">
        <f t="shared" si="108"/>
        <v>0</v>
      </c>
      <c r="AB142" s="474">
        <f t="shared" si="109"/>
        <v>15982.378684105484</v>
      </c>
      <c r="AC142" s="474">
        <f t="shared" si="110"/>
        <v>73747.152315247789</v>
      </c>
      <c r="AD142" s="475">
        <f t="shared" si="111"/>
        <v>6484.8743178513614</v>
      </c>
      <c r="AE142" s="100">
        <f t="shared" si="112"/>
        <v>0.55194983418014709</v>
      </c>
      <c r="AF142" s="100">
        <f t="shared" si="113"/>
        <v>0.18859139123314628</v>
      </c>
      <c r="AG142" s="100">
        <f t="shared" si="114"/>
        <v>4.2740187056907054E-2</v>
      </c>
      <c r="AH142" s="100">
        <f t="shared" si="126"/>
        <v>0</v>
      </c>
      <c r="AI142" s="100">
        <f t="shared" si="115"/>
        <v>0.2167185875297995</v>
      </c>
      <c r="AJ142" s="471">
        <f t="shared" si="116"/>
        <v>1</v>
      </c>
      <c r="AK142" s="1250">
        <f t="shared" si="117"/>
        <v>40704.728491659072</v>
      </c>
      <c r="AL142" s="1251">
        <f t="shared" si="118"/>
        <v>0</v>
      </c>
      <c r="AM142" s="1251">
        <f t="shared" si="119"/>
        <v>0</v>
      </c>
      <c r="AN142" s="1251">
        <f t="shared" si="120"/>
        <v>40704.728491659072</v>
      </c>
      <c r="AO142" s="1022">
        <f t="shared" si="121"/>
        <v>0</v>
      </c>
      <c r="AV142" s="119"/>
      <c r="AW142" s="119"/>
    </row>
    <row r="143" spans="1:91">
      <c r="A143" s="89">
        <f>'Input data'!A123</f>
        <v>2023</v>
      </c>
      <c r="B143" s="152">
        <f>'Input data'!B123</f>
        <v>61.381040636574369</v>
      </c>
      <c r="C143" s="204">
        <f>'Input data'!C123</f>
        <v>4492.6346436826334</v>
      </c>
      <c r="D143" s="475">
        <f>'Input data'!D123</f>
        <v>48665382.683029473</v>
      </c>
      <c r="E143" s="473">
        <f>'Input data'!J123*C143</f>
        <v>54051.092382747534</v>
      </c>
      <c r="F143" s="474">
        <f>'Input data'!L123</f>
        <v>102716.47506577701</v>
      </c>
      <c r="G143" s="474">
        <f>($G$147-$G$142)/($A$147-$A$142)+G142</f>
        <v>32166.662923379241</v>
      </c>
      <c r="H143" s="474">
        <f t="shared" si="95"/>
        <v>44518.377146558159</v>
      </c>
      <c r="I143" s="475">
        <f t="shared" si="98"/>
        <v>48665.382683029471</v>
      </c>
      <c r="J143" s="579">
        <f t="shared" si="122"/>
        <v>0.21775647462816641</v>
      </c>
      <c r="K143" s="474">
        <f t="shared" si="123"/>
        <v>7601.957917478293</v>
      </c>
      <c r="L143" s="474">
        <f t="shared" si="99"/>
        <v>0</v>
      </c>
      <c r="M143" s="475">
        <f t="shared" si="124"/>
        <v>7601.957917478293</v>
      </c>
      <c r="N143" s="579">
        <f>($N$147-$N$142)/($A$107-$A$102)+N142</f>
        <v>0.5</v>
      </c>
      <c r="O143" s="475">
        <f t="shared" si="100"/>
        <v>751.91700000000026</v>
      </c>
      <c r="P143" s="1043">
        <f t="shared" si="127"/>
        <v>8353.8749174782934</v>
      </c>
      <c r="Q143" s="467">
        <f t="shared" si="101"/>
        <v>68331.165152459114</v>
      </c>
      <c r="R143" s="467">
        <f t="shared" si="125"/>
        <v>36164.502229079873</v>
      </c>
      <c r="S143" s="1255">
        <f t="shared" si="102"/>
        <v>1.1950077846113711</v>
      </c>
      <c r="T143" s="118" t="str">
        <f t="shared" si="103"/>
        <v>No</v>
      </c>
      <c r="U143" s="1255">
        <f t="shared" si="104"/>
        <v>1</v>
      </c>
      <c r="V143" s="1268">
        <f t="shared" si="96"/>
        <v>72453.490426860255</v>
      </c>
      <c r="W143" s="1269">
        <f t="shared" si="97"/>
        <v>0.29462639386268963</v>
      </c>
      <c r="X143" s="473">
        <f t="shared" si="105"/>
        <v>38068.180513542356</v>
      </c>
      <c r="Y143" s="474">
        <f t="shared" si="106"/>
        <v>14925.513177657298</v>
      </c>
      <c r="Z143" s="474">
        <f t="shared" si="107"/>
        <v>3194.4586745285919</v>
      </c>
      <c r="AA143" s="474">
        <f t="shared" si="108"/>
        <v>0</v>
      </c>
      <c r="AB143" s="474">
        <f t="shared" si="109"/>
        <v>16265.338061132017</v>
      </c>
      <c r="AC143" s="474">
        <f t="shared" si="110"/>
        <v>72453.490426860255</v>
      </c>
      <c r="AD143" s="475">
        <f t="shared" si="111"/>
        <v>5901.5175901631155</v>
      </c>
      <c r="AE143" s="100">
        <f t="shared" si="112"/>
        <v>0.52541541186302276</v>
      </c>
      <c r="AF143" s="100">
        <f t="shared" si="113"/>
        <v>0.20600129945049619</v>
      </c>
      <c r="AG143" s="100">
        <f t="shared" si="114"/>
        <v>4.4089783055425158E-2</v>
      </c>
      <c r="AH143" s="100">
        <f t="shared" si="126"/>
        <v>0</v>
      </c>
      <c r="AI143" s="100">
        <f t="shared" si="115"/>
        <v>0.22449350563105602</v>
      </c>
      <c r="AJ143" s="471">
        <f t="shared" si="116"/>
        <v>1</v>
      </c>
      <c r="AK143" s="1250">
        <f t="shared" si="117"/>
        <v>38068.180513542356</v>
      </c>
      <c r="AL143" s="1251">
        <f t="shared" si="118"/>
        <v>0</v>
      </c>
      <c r="AM143" s="1251">
        <f t="shared" si="119"/>
        <v>0</v>
      </c>
      <c r="AN143" s="1251">
        <f>SUM(AK143:AM143)</f>
        <v>38068.180513542356</v>
      </c>
      <c r="AO143" s="1022">
        <f t="shared" si="121"/>
        <v>0</v>
      </c>
      <c r="AV143" s="119"/>
      <c r="AW143" s="119"/>
    </row>
    <row r="144" spans="1:91">
      <c r="A144" s="89">
        <f>'Input data'!A124</f>
        <v>2024</v>
      </c>
      <c r="B144" s="152">
        <f>'Input data'!B124</f>
        <v>62.087792487153699</v>
      </c>
      <c r="C144" s="204">
        <f>'Input data'!C124</f>
        <v>4579.7873251148294</v>
      </c>
      <c r="D144" s="475">
        <f>'Input data'!D124</f>
        <v>48951332.662830688</v>
      </c>
      <c r="E144" s="473">
        <f>'Input data'!J124*C144</f>
        <v>55099.630269557405</v>
      </c>
      <c r="F144" s="474">
        <f>'Input data'!L124</f>
        <v>104050.96293238809</v>
      </c>
      <c r="G144" s="474">
        <f t="shared" ref="G144:G146" si="128">($G$147-$G$142)/($A$147-$A$142)+G143</f>
        <v>30113.471672950778</v>
      </c>
      <c r="H144" s="474">
        <f t="shared" si="95"/>
        <v>47441.577306947831</v>
      </c>
      <c r="I144" s="475">
        <f t="shared" si="98"/>
        <v>48951.33266283069</v>
      </c>
      <c r="J144" s="579">
        <f t="shared" si="122"/>
        <v>0.24379126396699979</v>
      </c>
      <c r="K144" s="474">
        <f t="shared" si="123"/>
        <v>8921.0634361236534</v>
      </c>
      <c r="L144" s="474">
        <f t="shared" si="99"/>
        <v>0</v>
      </c>
      <c r="M144" s="475">
        <f t="shared" si="124"/>
        <v>8921.0634361236534</v>
      </c>
      <c r="N144" s="579">
        <f>($N$147-$N$142)/($A$107-$A$102)+N143</f>
        <v>0.5</v>
      </c>
      <c r="O144" s="475">
        <f t="shared" si="100"/>
        <v>751.91700000000026</v>
      </c>
      <c r="P144" s="1043">
        <f t="shared" si="127"/>
        <v>9672.9804361236529</v>
      </c>
      <c r="Q144" s="467">
        <f t="shared" si="101"/>
        <v>67882.068543774949</v>
      </c>
      <c r="R144" s="467">
        <f t="shared" si="125"/>
        <v>37768.596870824171</v>
      </c>
      <c r="S144" s="1255">
        <f t="shared" si="102"/>
        <v>1.223684871229491</v>
      </c>
      <c r="T144" s="118" t="str">
        <f t="shared" si="103"/>
        <v>No</v>
      </c>
      <c r="U144" s="1255">
        <f t="shared" si="104"/>
        <v>1</v>
      </c>
      <c r="V144" s="1268">
        <f t="shared" si="96"/>
        <v>73186.319788703258</v>
      </c>
      <c r="W144" s="1269">
        <f t="shared" si="97"/>
        <v>0.29663005775103268</v>
      </c>
      <c r="X144" s="473">
        <f t="shared" si="105"/>
        <v>37017.425400090113</v>
      </c>
      <c r="Y144" s="474">
        <f t="shared" si="106"/>
        <v>16346.183235870674</v>
      </c>
      <c r="Z144" s="474">
        <f t="shared" si="107"/>
        <v>3241.8415741695385</v>
      </c>
      <c r="AA144" s="474">
        <f t="shared" si="108"/>
        <v>0</v>
      </c>
      <c r="AB144" s="474">
        <f t="shared" si="109"/>
        <v>16580.869578572932</v>
      </c>
      <c r="AC144" s="474">
        <f t="shared" si="110"/>
        <v>73186.319788703258</v>
      </c>
      <c r="AD144" s="475">
        <f t="shared" si="111"/>
        <v>6903.9537271393347</v>
      </c>
      <c r="AE144" s="100">
        <f t="shared" si="112"/>
        <v>0.50579706025611593</v>
      </c>
      <c r="AF144" s="100">
        <f t="shared" si="113"/>
        <v>0.22335025566340616</v>
      </c>
      <c r="AG144" s="100">
        <f t="shared" si="114"/>
        <v>4.429573154558232E-2</v>
      </c>
      <c r="AH144" s="100">
        <f t="shared" si="126"/>
        <v>0</v>
      </c>
      <c r="AI144" s="100">
        <f t="shared" si="115"/>
        <v>0.22655695253489558</v>
      </c>
      <c r="AJ144" s="471">
        <f t="shared" si="116"/>
        <v>1</v>
      </c>
      <c r="AK144" s="1250">
        <f t="shared" si="117"/>
        <v>37017.425400090113</v>
      </c>
      <c r="AL144" s="1251">
        <f t="shared" si="118"/>
        <v>0</v>
      </c>
      <c r="AM144" s="1251">
        <f t="shared" si="119"/>
        <v>0</v>
      </c>
      <c r="AN144" s="1251">
        <f t="shared" si="120"/>
        <v>37017.425400090113</v>
      </c>
      <c r="AO144" s="1022">
        <f t="shared" si="121"/>
        <v>0</v>
      </c>
      <c r="AV144" s="119"/>
      <c r="AW144" s="119"/>
    </row>
    <row r="145" spans="1:49">
      <c r="A145" s="89">
        <f>'Input data'!A125</f>
        <v>2025</v>
      </c>
      <c r="B145" s="152">
        <f>'Input data'!B125</f>
        <v>62.802682000000026</v>
      </c>
      <c r="C145" s="204">
        <f>'Input data'!C125</f>
        <v>4678.6267528880244</v>
      </c>
      <c r="D145" s="475">
        <f>'Input data'!D125</f>
        <v>48538822.712079689</v>
      </c>
      <c r="E145" s="473">
        <f>'Input data'!J125*C145</f>
        <v>56288.771934824821</v>
      </c>
      <c r="F145" s="474">
        <f>'Input data'!L125</f>
        <v>104827.5946469045</v>
      </c>
      <c r="G145" s="474">
        <f t="shared" si="128"/>
        <v>28060.280422522315</v>
      </c>
      <c r="H145" s="474">
        <f t="shared" si="95"/>
        <v>49789.985615151316</v>
      </c>
      <c r="I145" s="475">
        <f t="shared" si="98"/>
        <v>48538.822712079687</v>
      </c>
      <c r="J145" s="579">
        <f t="shared" si="122"/>
        <v>0.26982605330583315</v>
      </c>
      <c r="K145" s="474">
        <f t="shared" si="123"/>
        <v>10109.584192511804</v>
      </c>
      <c r="L145" s="474">
        <f t="shared" si="99"/>
        <v>0</v>
      </c>
      <c r="M145" s="475">
        <f t="shared" si="124"/>
        <v>10109.584192511804</v>
      </c>
      <c r="N145" s="579">
        <f>($N$147-$N$142)/($A$107-$A$102)+N144</f>
        <v>0.5</v>
      </c>
      <c r="O145" s="475">
        <f t="shared" si="100"/>
        <v>751.91700000000026</v>
      </c>
      <c r="P145" s="1043">
        <f t="shared" si="127"/>
        <v>10861.501192511803</v>
      </c>
      <c r="Q145" s="467">
        <f t="shared" si="101"/>
        <v>66988.76484516183</v>
      </c>
      <c r="R145" s="467">
        <f t="shared" si="125"/>
        <v>38928.484422639514</v>
      </c>
      <c r="S145" s="1255">
        <f t="shared" si="102"/>
        <v>1.2339844596289533</v>
      </c>
      <c r="T145" s="118" t="str">
        <f t="shared" si="103"/>
        <v>No</v>
      </c>
      <c r="U145" s="1255">
        <f t="shared" si="104"/>
        <v>1</v>
      </c>
      <c r="V145" s="1268">
        <f t="shared" si="96"/>
        <v>73280.613549310365</v>
      </c>
      <c r="W145" s="1269">
        <f t="shared" si="97"/>
        <v>0.30094157176700709</v>
      </c>
      <c r="X145" s="473">
        <f t="shared" si="105"/>
        <v>35441.783747567686</v>
      </c>
      <c r="Y145" s="474">
        <f t="shared" si="106"/>
        <v>17604.539191827451</v>
      </c>
      <c r="Z145" s="474">
        <f t="shared" si="107"/>
        <v>3295.5782878286518</v>
      </c>
      <c r="AA145" s="474">
        <f t="shared" si="108"/>
        <v>0</v>
      </c>
      <c r="AB145" s="474">
        <f t="shared" si="109"/>
        <v>16938.71232208658</v>
      </c>
      <c r="AC145" s="474">
        <f t="shared" si="110"/>
        <v>73280.613549310365</v>
      </c>
      <c r="AD145" s="475">
        <f t="shared" si="111"/>
        <v>7381.5033250453707</v>
      </c>
      <c r="AE145" s="100">
        <f t="shared" si="112"/>
        <v>0.48364474628366733</v>
      </c>
      <c r="AF145" s="100">
        <f t="shared" si="113"/>
        <v>0.2402346042037625</v>
      </c>
      <c r="AG145" s="100">
        <f t="shared" si="114"/>
        <v>4.4972034596995621E-2</v>
      </c>
      <c r="AH145" s="100">
        <f t="shared" si="126"/>
        <v>0</v>
      </c>
      <c r="AI145" s="100">
        <f t="shared" si="115"/>
        <v>0.23114861491557459</v>
      </c>
      <c r="AJ145" s="471">
        <f t="shared" si="116"/>
        <v>1</v>
      </c>
      <c r="AK145" s="1250">
        <f t="shared" si="117"/>
        <v>35441.783747567693</v>
      </c>
      <c r="AL145" s="1251">
        <f t="shared" si="118"/>
        <v>0</v>
      </c>
      <c r="AM145" s="1251">
        <f t="shared" si="119"/>
        <v>0</v>
      </c>
      <c r="AN145" s="1251">
        <f t="shared" si="120"/>
        <v>35441.783747567693</v>
      </c>
      <c r="AO145" s="1022">
        <f t="shared" si="121"/>
        <v>0</v>
      </c>
      <c r="AV145" s="119"/>
      <c r="AW145" s="119"/>
    </row>
    <row r="146" spans="1:49">
      <c r="A146" s="89">
        <f>'Input data'!A126</f>
        <v>2026</v>
      </c>
      <c r="B146" s="152">
        <f>'Input data'!B126</f>
        <v>63.421065342005143</v>
      </c>
      <c r="C146" s="204">
        <f>'Input data'!C126</f>
        <v>4782.707139404285</v>
      </c>
      <c r="D146" s="475">
        <f>'Input data'!D126</f>
        <v>47372560.213695109</v>
      </c>
      <c r="E146" s="473">
        <f>'Input data'!J126*C146</f>
        <v>57540.967813858311</v>
      </c>
      <c r="F146" s="474">
        <f>'Input data'!L126</f>
        <v>104913.52802755342</v>
      </c>
      <c r="G146" s="474">
        <f t="shared" si="128"/>
        <v>26007.089172093853</v>
      </c>
      <c r="H146" s="474">
        <f t="shared" si="95"/>
        <v>51467.21409727697</v>
      </c>
      <c r="I146" s="475">
        <f t="shared" si="98"/>
        <v>47372.560213695106</v>
      </c>
      <c r="J146" s="579">
        <f t="shared" si="122"/>
        <v>0.2958608426446665</v>
      </c>
      <c r="K146" s="474">
        <f t="shared" si="123"/>
        <v>11100.011630442761</v>
      </c>
      <c r="L146" s="474">
        <f t="shared" si="99"/>
        <v>0</v>
      </c>
      <c r="M146" s="475">
        <f t="shared" si="124"/>
        <v>11100.011630442761</v>
      </c>
      <c r="N146" s="579">
        <f>($N$147-$N$142)/($A$107-$A$102)+N145</f>
        <v>0.5</v>
      </c>
      <c r="O146" s="475">
        <f t="shared" si="100"/>
        <v>751.91700000000026</v>
      </c>
      <c r="P146" s="1043">
        <f t="shared" si="127"/>
        <v>11851.928630442761</v>
      </c>
      <c r="Q146" s="467">
        <f t="shared" si="101"/>
        <v>65622.374638928057</v>
      </c>
      <c r="R146" s="467">
        <f t="shared" si="125"/>
        <v>39615.285466834204</v>
      </c>
      <c r="S146" s="1255">
        <f t="shared" si="102"/>
        <v>1.2277908433668587</v>
      </c>
      <c r="T146" s="118" t="str">
        <f t="shared" si="103"/>
        <v>No</v>
      </c>
      <c r="U146" s="1255">
        <f t="shared" si="104"/>
        <v>1</v>
      </c>
      <c r="V146" s="1268">
        <f t="shared" si="96"/>
        <v>72648.02801926143</v>
      </c>
      <c r="W146" s="1269">
        <f t="shared" si="97"/>
        <v>0.30754375164867309</v>
      </c>
      <c r="X146" s="473">
        <f t="shared" si="105"/>
        <v>33356.87463063607</v>
      </c>
      <c r="Y146" s="474">
        <f t="shared" si="106"/>
        <v>18623.45932879344</v>
      </c>
      <c r="Z146" s="474">
        <f t="shared" si="107"/>
        <v>3352.1643896886117</v>
      </c>
      <c r="AA146" s="474">
        <f t="shared" si="108"/>
        <v>0</v>
      </c>
      <c r="AB146" s="474">
        <f t="shared" si="109"/>
        <v>17315.529670143307</v>
      </c>
      <c r="AC146" s="474">
        <f t="shared" si="110"/>
        <v>72648.02801926143</v>
      </c>
      <c r="AD146" s="475">
        <f t="shared" si="111"/>
        <v>7349.7854585422174</v>
      </c>
      <c r="AE146" s="100">
        <f t="shared" si="112"/>
        <v>0.45915733076460169</v>
      </c>
      <c r="AF146" s="100">
        <f t="shared" si="113"/>
        <v>0.25635189056825791</v>
      </c>
      <c r="AG146" s="100">
        <f t="shared" si="114"/>
        <v>4.614253794748345E-2</v>
      </c>
      <c r="AH146" s="100">
        <f t="shared" si="126"/>
        <v>0</v>
      </c>
      <c r="AI146" s="100">
        <f t="shared" si="115"/>
        <v>0.23834824071965696</v>
      </c>
      <c r="AJ146" s="471">
        <f t="shared" si="116"/>
        <v>1</v>
      </c>
      <c r="AK146" s="1250">
        <f t="shared" si="117"/>
        <v>33356.87463063607</v>
      </c>
      <c r="AL146" s="1251">
        <f t="shared" si="118"/>
        <v>0</v>
      </c>
      <c r="AM146" s="1251">
        <f t="shared" si="119"/>
        <v>0</v>
      </c>
      <c r="AN146" s="1251">
        <f t="shared" si="120"/>
        <v>33356.87463063607</v>
      </c>
      <c r="AO146" s="1022">
        <f t="shared" si="121"/>
        <v>0</v>
      </c>
      <c r="AV146" s="119"/>
      <c r="AW146" s="119"/>
    </row>
    <row r="147" spans="1:49">
      <c r="A147" s="89">
        <f>'Input data'!A127</f>
        <v>2027</v>
      </c>
      <c r="B147" s="152">
        <f>'Input data'!B127</f>
        <v>64.045537563425796</v>
      </c>
      <c r="C147" s="204">
        <f>'Input data'!C127</f>
        <v>4895.4664822406658</v>
      </c>
      <c r="D147" s="475">
        <f>'Input data'!D127</f>
        <v>47544656.205152296</v>
      </c>
      <c r="E147" s="473">
        <f>'Input data'!J127*C147</f>
        <v>58897.58061237228</v>
      </c>
      <c r="F147" s="474">
        <f>'Input data'!L127</f>
        <v>106442.23681752456</v>
      </c>
      <c r="G147" s="474">
        <f>G137*(1-E5)</f>
        <v>23953.89792166539</v>
      </c>
      <c r="H147" s="474">
        <f t="shared" si="95"/>
        <v>54460.343302584144</v>
      </c>
      <c r="I147" s="475">
        <f t="shared" si="98"/>
        <v>47544.656205152292</v>
      </c>
      <c r="J147" s="579">
        <f t="shared" si="122"/>
        <v>0.32189563198349985</v>
      </c>
      <c r="K147" s="474">
        <f t="shared" si="123"/>
        <v>12378.151084883968</v>
      </c>
      <c r="L147" s="474">
        <f t="shared" si="99"/>
        <v>0</v>
      </c>
      <c r="M147" s="475">
        <f t="shared" si="124"/>
        <v>12378.151084883968</v>
      </c>
      <c r="N147" s="579">
        <f>$C$27</f>
        <v>0.5</v>
      </c>
      <c r="O147" s="475">
        <f t="shared" si="100"/>
        <v>751.91700000000026</v>
      </c>
      <c r="P147" s="1043">
        <f t="shared" si="127"/>
        <v>13130.068084883967</v>
      </c>
      <c r="Q147" s="467">
        <f t="shared" si="101"/>
        <v>65284.173139365565</v>
      </c>
      <c r="R147" s="467">
        <f t="shared" si="125"/>
        <v>41330.275217700175</v>
      </c>
      <c r="S147" s="1255">
        <f t="shared" si="102"/>
        <v>1.2507673905933612</v>
      </c>
      <c r="T147" s="118" t="str">
        <f t="shared" si="103"/>
        <v>No</v>
      </c>
      <c r="U147" s="1255">
        <f t="shared" si="104"/>
        <v>1</v>
      </c>
      <c r="V147" s="1268">
        <f t="shared" si="96"/>
        <v>73398.302726715585</v>
      </c>
      <c r="W147" s="1269">
        <f t="shared" si="97"/>
        <v>0.31044005724397417</v>
      </c>
      <c r="X147" s="473">
        <f t="shared" si="105"/>
        <v>32240.23904855657</v>
      </c>
      <c r="Y147" s="474">
        <f t="shared" si="106"/>
        <v>20020.825933571552</v>
      </c>
      <c r="Z147" s="474">
        <f t="shared" si="107"/>
        <v>3413.4690396132614</v>
      </c>
      <c r="AA147" s="474">
        <f t="shared" si="108"/>
        <v>0</v>
      </c>
      <c r="AB147" s="474">
        <f t="shared" si="109"/>
        <v>17723.768704974198</v>
      </c>
      <c r="AC147" s="474">
        <f t="shared" si="110"/>
        <v>73398.302726715585</v>
      </c>
      <c r="AD147" s="475">
        <f t="shared" si="111"/>
        <v>8286.3411268911805</v>
      </c>
      <c r="AE147" s="100">
        <f t="shared" si="112"/>
        <v>0.4392504710714753</v>
      </c>
      <c r="AF147" s="100">
        <f t="shared" si="113"/>
        <v>0.27276960351679019</v>
      </c>
      <c r="AG147" s="100">
        <f t="shared" si="114"/>
        <v>4.6506103176835775E-2</v>
      </c>
      <c r="AH147" s="100">
        <f t="shared" si="126"/>
        <v>0</v>
      </c>
      <c r="AI147" s="100">
        <f t="shared" si="115"/>
        <v>0.24147382223489869</v>
      </c>
      <c r="AJ147" s="471">
        <f t="shared" si="116"/>
        <v>0.99999999999999989</v>
      </c>
      <c r="AK147" s="1250">
        <f t="shared" si="117"/>
        <v>32240.239048556563</v>
      </c>
      <c r="AL147" s="1251">
        <f t="shared" si="118"/>
        <v>0</v>
      </c>
      <c r="AM147" s="1251">
        <f t="shared" si="119"/>
        <v>0</v>
      </c>
      <c r="AN147" s="1251">
        <f t="shared" si="120"/>
        <v>32240.239048556563</v>
      </c>
      <c r="AO147" s="1022">
        <f t="shared" si="121"/>
        <v>0</v>
      </c>
      <c r="AV147" s="119"/>
      <c r="AW147" s="119"/>
    </row>
    <row r="148" spans="1:49">
      <c r="A148" s="89">
        <f>'Input data'!A128</f>
        <v>2028</v>
      </c>
      <c r="B148" s="152">
        <f>'Input data'!B128</f>
        <v>64.676158618096451</v>
      </c>
      <c r="C148" s="204">
        <f>'Input data'!C128</f>
        <v>5007.2618284439486</v>
      </c>
      <c r="D148" s="475">
        <f>'Input data'!D128</f>
        <v>47264829.111875661</v>
      </c>
      <c r="E148" s="473">
        <f>'Input data'!J128*C148</f>
        <v>60242.595523409356</v>
      </c>
      <c r="F148" s="474">
        <f>'Input data'!L128</f>
        <v>107507.42463528502</v>
      </c>
      <c r="G148" s="474">
        <f>($G$152-$G$147)/($A$152-$A$147)+G147</f>
        <v>21900.706671236927</v>
      </c>
      <c r="H148" s="474">
        <f t="shared" si="95"/>
        <v>57022.709316633642</v>
      </c>
      <c r="I148" s="475">
        <f t="shared" si="98"/>
        <v>47264.829111875661</v>
      </c>
      <c r="J148" s="579">
        <f t="shared" si="122"/>
        <v>0.34793042132233321</v>
      </c>
      <c r="K148" s="474">
        <f t="shared" si="123"/>
        <v>13535.828559700056</v>
      </c>
      <c r="L148" s="474">
        <f t="shared" si="99"/>
        <v>0</v>
      </c>
      <c r="M148" s="475">
        <f t="shared" si="124"/>
        <v>13535.828559700056</v>
      </c>
      <c r="N148" s="579">
        <f>N147</f>
        <v>0.5</v>
      </c>
      <c r="O148" s="475">
        <f t="shared" si="100"/>
        <v>751.91700000000026</v>
      </c>
      <c r="P148" s="1043">
        <f t="shared" si="127"/>
        <v>14287.745559700055</v>
      </c>
      <c r="Q148" s="467">
        <f t="shared" si="101"/>
        <v>64635.670428170517</v>
      </c>
      <c r="R148" s="467">
        <f t="shared" si="125"/>
        <v>42734.96375693359</v>
      </c>
      <c r="S148" s="1255">
        <f t="shared" si="102"/>
        <v>1.263760532720952</v>
      </c>
      <c r="T148" s="118" t="str">
        <f t="shared" si="103"/>
        <v>No</v>
      </c>
      <c r="U148" s="1255">
        <f t="shared" si="104"/>
        <v>1</v>
      </c>
      <c r="V148" s="1268">
        <f t="shared" si="96"/>
        <v>73691.711412367193</v>
      </c>
      <c r="W148" s="1269">
        <f t="shared" si="97"/>
        <v>0.31454304981852543</v>
      </c>
      <c r="X148" s="473">
        <f t="shared" si="105"/>
        <v>30819.957205252682</v>
      </c>
      <c r="Y148" s="474">
        <f t="shared" si="106"/>
        <v>21268.986977569155</v>
      </c>
      <c r="Z148" s="474">
        <f t="shared" si="107"/>
        <v>3474.2495868371143</v>
      </c>
      <c r="AA148" s="474">
        <f t="shared" si="108"/>
        <v>0</v>
      </c>
      <c r="AB148" s="474">
        <f t="shared" si="109"/>
        <v>18128.517642708237</v>
      </c>
      <c r="AC148" s="474">
        <f t="shared" si="110"/>
        <v>73691.711412367193</v>
      </c>
      <c r="AD148" s="475">
        <f t="shared" si="111"/>
        <v>8919.250534015755</v>
      </c>
      <c r="AE148" s="100">
        <f t="shared" si="112"/>
        <v>0.41822827309287286</v>
      </c>
      <c r="AF148" s="100">
        <f t="shared" si="113"/>
        <v>0.28862115657148008</v>
      </c>
      <c r="AG148" s="100">
        <f t="shared" si="114"/>
        <v>4.7145730778265706E-2</v>
      </c>
      <c r="AH148" s="100">
        <f t="shared" si="126"/>
        <v>0</v>
      </c>
      <c r="AI148" s="100">
        <f t="shared" si="115"/>
        <v>0.24600483955738131</v>
      </c>
      <c r="AJ148" s="471">
        <f t="shared" si="116"/>
        <v>0.99999999999999989</v>
      </c>
      <c r="AK148" s="1250">
        <f t="shared" si="117"/>
        <v>30819.957205252678</v>
      </c>
      <c r="AL148" s="1251">
        <f t="shared" si="118"/>
        <v>0</v>
      </c>
      <c r="AM148" s="1251">
        <f t="shared" si="119"/>
        <v>0</v>
      </c>
      <c r="AN148" s="1251">
        <f t="shared" si="120"/>
        <v>30819.957205252678</v>
      </c>
      <c r="AO148" s="1022">
        <f t="shared" si="121"/>
        <v>0</v>
      </c>
      <c r="AV148" s="119"/>
      <c r="AW148" s="119"/>
    </row>
    <row r="149" spans="1:49">
      <c r="A149" s="89">
        <f>'Input data'!A129</f>
        <v>2029</v>
      </c>
      <c r="B149" s="152">
        <f>'Input data'!B129</f>
        <v>65.31298905018393</v>
      </c>
      <c r="C149" s="204">
        <f>'Input data'!C129</f>
        <v>5127.4326756514902</v>
      </c>
      <c r="D149" s="475">
        <f>'Input data'!D129</f>
        <v>45911028.865820996</v>
      </c>
      <c r="E149" s="473">
        <f>'Input data'!J129*C149</f>
        <v>61688.376469176088</v>
      </c>
      <c r="F149" s="474">
        <f>'Input data'!L129</f>
        <v>107599.40533499708</v>
      </c>
      <c r="G149" s="474">
        <f t="shared" ref="G149:G151" si="129">($G$152-$G$147)/($A$152-$A$147)+G148</f>
        <v>19847.515420808464</v>
      </c>
      <c r="H149" s="474">
        <f t="shared" si="95"/>
        <v>58635.023064926318</v>
      </c>
      <c r="I149" s="475">
        <f t="shared" si="98"/>
        <v>45911.028865820997</v>
      </c>
      <c r="J149" s="579">
        <f t="shared" si="122"/>
        <v>0.37396521066116656</v>
      </c>
      <c r="K149" s="474">
        <f t="shared" si="123"/>
        <v>14343.407578208971</v>
      </c>
      <c r="L149" s="474">
        <f t="shared" si="99"/>
        <v>0</v>
      </c>
      <c r="M149" s="475">
        <f t="shared" si="124"/>
        <v>14343.407578208971</v>
      </c>
      <c r="N149" s="579">
        <f t="shared" ref="N149:N170" si="130">N148</f>
        <v>0.5</v>
      </c>
      <c r="O149" s="475">
        <f t="shared" si="100"/>
        <v>751.91700000000026</v>
      </c>
      <c r="P149" s="1043">
        <f t="shared" si="127"/>
        <v>15095.324578208971</v>
      </c>
      <c r="Q149" s="467">
        <f t="shared" si="101"/>
        <v>63387.213907525809</v>
      </c>
      <c r="R149" s="467">
        <f t="shared" si="125"/>
        <v>43539.698486717345</v>
      </c>
      <c r="S149" s="1255">
        <f t="shared" si="102"/>
        <v>1.2567269621802555</v>
      </c>
      <c r="T149" s="118" t="str">
        <f t="shared" si="103"/>
        <v>No</v>
      </c>
      <c r="U149" s="1255">
        <f t="shared" si="104"/>
        <v>1</v>
      </c>
      <c r="V149" s="1268">
        <f t="shared" si="96"/>
        <v>72954.092711814621</v>
      </c>
      <c r="W149" s="1269">
        <f t="shared" si="97"/>
        <v>0.32198423880985849</v>
      </c>
      <c r="X149" s="473">
        <f t="shared" si="105"/>
        <v>28741.901284343348</v>
      </c>
      <c r="Y149" s="474">
        <f t="shared" si="106"/>
        <v>22109.018103152037</v>
      </c>
      <c r="Z149" s="474">
        <f t="shared" si="107"/>
        <v>3539.5837004803343</v>
      </c>
      <c r="AA149" s="474">
        <f t="shared" si="108"/>
        <v>0</v>
      </c>
      <c r="AB149" s="474">
        <f t="shared" si="109"/>
        <v>18563.58962383891</v>
      </c>
      <c r="AC149" s="474">
        <f t="shared" si="110"/>
        <v>72954.092711814621</v>
      </c>
      <c r="AD149" s="475">
        <f t="shared" si="111"/>
        <v>8894.3858635348843</v>
      </c>
      <c r="AE149" s="100">
        <f t="shared" si="112"/>
        <v>0.39397243137380167</v>
      </c>
      <c r="AF149" s="100">
        <f t="shared" si="113"/>
        <v>0.3030538422359349</v>
      </c>
      <c r="AG149" s="100">
        <f t="shared" si="114"/>
        <v>4.8517959293421696E-2</v>
      </c>
      <c r="AH149" s="100">
        <f t="shared" si="126"/>
        <v>0</v>
      </c>
      <c r="AI149" s="100">
        <f t="shared" si="115"/>
        <v>0.25445576709684187</v>
      </c>
      <c r="AJ149" s="471">
        <f t="shared" si="116"/>
        <v>1.0000000000000002</v>
      </c>
      <c r="AK149" s="1250">
        <f t="shared" si="117"/>
        <v>28741.901284343345</v>
      </c>
      <c r="AL149" s="1251">
        <f t="shared" si="118"/>
        <v>0</v>
      </c>
      <c r="AM149" s="1251">
        <f t="shared" si="119"/>
        <v>0</v>
      </c>
      <c r="AN149" s="1251">
        <f t="shared" si="120"/>
        <v>28741.901284343345</v>
      </c>
      <c r="AO149" s="1022">
        <f t="shared" si="121"/>
        <v>0</v>
      </c>
      <c r="AV149" s="119"/>
      <c r="AW149" s="119"/>
    </row>
    <row r="150" spans="1:49">
      <c r="A150" s="89">
        <f>'Input data'!A130</f>
        <v>2030</v>
      </c>
      <c r="B150" s="152">
        <f>'Input data'!B130</f>
        <v>65.956090000000003</v>
      </c>
      <c r="C150" s="204">
        <f>'Input data'!C130</f>
        <v>5247.6087278453806</v>
      </c>
      <c r="D150" s="475">
        <f>'Input data'!D130</f>
        <v>43025080.542663962</v>
      </c>
      <c r="E150" s="473">
        <f>'Input data'!J130*C150</f>
        <v>63134.220036371073</v>
      </c>
      <c r="F150" s="474">
        <f>'Input data'!L130</f>
        <v>106159.30057903504</v>
      </c>
      <c r="G150" s="474">
        <f t="shared" si="129"/>
        <v>17794.324170380001</v>
      </c>
      <c r="H150" s="474">
        <f t="shared" si="95"/>
        <v>58809.524918076582</v>
      </c>
      <c r="I150" s="475">
        <f t="shared" si="98"/>
        <v>43025.080542663964</v>
      </c>
      <c r="J150" s="579">
        <f>$H$19</f>
        <v>0.4</v>
      </c>
      <c r="K150" s="474">
        <f t="shared" si="123"/>
        <v>14561.935806789734</v>
      </c>
      <c r="L150" s="474">
        <f t="shared" si="99"/>
        <v>0</v>
      </c>
      <c r="M150" s="475">
        <f t="shared" si="124"/>
        <v>14561.935806789734</v>
      </c>
      <c r="N150" s="579">
        <f t="shared" si="130"/>
        <v>0.5</v>
      </c>
      <c r="O150" s="475">
        <f t="shared" si="100"/>
        <v>751.91700000000026</v>
      </c>
      <c r="P150" s="1043">
        <f t="shared" si="127"/>
        <v>15313.852806789733</v>
      </c>
      <c r="Q150" s="467">
        <f t="shared" si="101"/>
        <v>61289.996281666849</v>
      </c>
      <c r="R150" s="467">
        <f t="shared" si="125"/>
        <v>43495.672111286847</v>
      </c>
      <c r="S150" s="1255">
        <f t="shared" si="102"/>
        <v>1.2260954453027273</v>
      </c>
      <c r="T150" s="118" t="str">
        <f t="shared" si="103"/>
        <v>No</v>
      </c>
      <c r="U150" s="1255">
        <f t="shared" si="104"/>
        <v>1</v>
      </c>
      <c r="V150" s="1268">
        <f t="shared" si="96"/>
        <v>70684.352622966573</v>
      </c>
      <c r="W150" s="1269">
        <f t="shared" si="97"/>
        <v>0.33416712207572952</v>
      </c>
      <c r="X150" s="473">
        <f t="shared" si="105"/>
        <v>25815.048325598378</v>
      </c>
      <c r="Y150" s="474">
        <f t="shared" si="106"/>
        <v>22265.703204075762</v>
      </c>
      <c r="Z150" s="474">
        <f t="shared" si="107"/>
        <v>3604.9206439543955</v>
      </c>
      <c r="AA150" s="474">
        <f t="shared" si="108"/>
        <v>0</v>
      </c>
      <c r="AB150" s="474">
        <f t="shared" si="109"/>
        <v>18998.680449338044</v>
      </c>
      <c r="AC150" s="474">
        <f t="shared" si="110"/>
        <v>70684.352622966573</v>
      </c>
      <c r="AD150" s="475">
        <f t="shared" si="111"/>
        <v>8020.7241552183768</v>
      </c>
      <c r="AE150" s="100">
        <f t="shared" si="112"/>
        <v>0.36521588396369664</v>
      </c>
      <c r="AF150" s="100">
        <f t="shared" si="113"/>
        <v>0.3150018692657765</v>
      </c>
      <c r="AG150" s="100">
        <f t="shared" si="114"/>
        <v>5.1000263993124476E-2</v>
      </c>
      <c r="AH150" s="100">
        <f t="shared" si="126"/>
        <v>0</v>
      </c>
      <c r="AI150" s="100">
        <f t="shared" si="115"/>
        <v>0.26878198277740245</v>
      </c>
      <c r="AJ150" s="471">
        <f t="shared" si="116"/>
        <v>1</v>
      </c>
      <c r="AK150" s="1250">
        <f t="shared" si="117"/>
        <v>25815.048325598378</v>
      </c>
      <c r="AL150" s="1251">
        <f t="shared" si="118"/>
        <v>0</v>
      </c>
      <c r="AM150" s="1251">
        <f t="shared" si="119"/>
        <v>0</v>
      </c>
      <c r="AN150" s="1251">
        <f t="shared" si="120"/>
        <v>25815.048325598378</v>
      </c>
      <c r="AO150" s="1022">
        <f t="shared" si="121"/>
        <v>0</v>
      </c>
      <c r="AV150" s="119"/>
      <c r="AW150" s="119"/>
    </row>
    <row r="151" spans="1:49">
      <c r="A151" s="89">
        <f>'Input data'!A131</f>
        <v>2031</v>
      </c>
      <c r="B151" s="152">
        <f>'Input data'!B131</f>
        <v>66.518977190687664</v>
      </c>
      <c r="C151" s="204">
        <f>'Input data'!C131</f>
        <v>5388.2194214943684</v>
      </c>
      <c r="D151" s="475">
        <f>'Input data'!D131</f>
        <v>41478479.110071354</v>
      </c>
      <c r="E151" s="473">
        <f>'Input data'!J131*C151</f>
        <v>64825.913707279899</v>
      </c>
      <c r="F151" s="474">
        <f>'Input data'!L131</f>
        <v>106304.39281735125</v>
      </c>
      <c r="G151" s="474">
        <f t="shared" si="129"/>
        <v>15741.132919951538</v>
      </c>
      <c r="H151" s="474">
        <f t="shared" si="95"/>
        <v>60382.010429382244</v>
      </c>
      <c r="I151" s="475">
        <f t="shared" si="98"/>
        <v>41478.479110071356</v>
      </c>
      <c r="J151" s="579">
        <f>J150</f>
        <v>0.4</v>
      </c>
      <c r="K151" s="474">
        <f t="shared" si="123"/>
        <v>14038.485054436811</v>
      </c>
      <c r="L151" s="474">
        <f t="shared" si="99"/>
        <v>0</v>
      </c>
      <c r="M151" s="475">
        <f t="shared" si="124"/>
        <v>14038.485054436811</v>
      </c>
      <c r="N151" s="579">
        <f t="shared" si="130"/>
        <v>0.5</v>
      </c>
      <c r="O151" s="475">
        <f t="shared" si="100"/>
        <v>751.91700000000026</v>
      </c>
      <c r="P151" s="1043">
        <f t="shared" si="127"/>
        <v>14790.40205443681</v>
      </c>
      <c r="Q151" s="467">
        <f t="shared" si="101"/>
        <v>61332.741294896972</v>
      </c>
      <c r="R151" s="467">
        <f t="shared" si="125"/>
        <v>45591.608374945434</v>
      </c>
      <c r="S151" s="1255">
        <f t="shared" si="102"/>
        <v>1.2509477423299891</v>
      </c>
      <c r="T151" s="118" t="str">
        <f t="shared" si="103"/>
        <v>No</v>
      </c>
      <c r="U151" s="1255">
        <f t="shared" si="104"/>
        <v>1</v>
      </c>
      <c r="V151" s="1268">
        <f t="shared" si="96"/>
        <v>69858.738988497091</v>
      </c>
      <c r="W151" s="1269">
        <f t="shared" si="97"/>
        <v>0.34284240625384033</v>
      </c>
      <c r="X151" s="473">
        <f t="shared" si="105"/>
        <v>24887.087466042813</v>
      </c>
      <c r="Y151" s="474">
        <f t="shared" si="106"/>
        <v>21782.53031569524</v>
      </c>
      <c r="Z151" s="474">
        <f t="shared" si="107"/>
        <v>3681.3674299410918</v>
      </c>
      <c r="AA151" s="474">
        <f t="shared" si="108"/>
        <v>0</v>
      </c>
      <c r="AB151" s="474">
        <f t="shared" si="109"/>
        <v>19507.753776817954</v>
      </c>
      <c r="AC151" s="474">
        <f t="shared" si="110"/>
        <v>69858.738988497091</v>
      </c>
      <c r="AD151" s="475">
        <f t="shared" si="111"/>
        <v>9145.9545460912741</v>
      </c>
      <c r="AE151" s="100">
        <f t="shared" si="112"/>
        <v>0.35624873604060775</v>
      </c>
      <c r="AF151" s="100">
        <f t="shared" si="113"/>
        <v>0.31180823803993857</v>
      </c>
      <c r="AG151" s="100">
        <f t="shared" si="114"/>
        <v>5.269730721230545E-2</v>
      </c>
      <c r="AH151" s="100">
        <f t="shared" si="126"/>
        <v>0</v>
      </c>
      <c r="AI151" s="100">
        <f t="shared" si="115"/>
        <v>0.27924571870714832</v>
      </c>
      <c r="AJ151" s="471">
        <f t="shared" si="116"/>
        <v>1</v>
      </c>
      <c r="AK151" s="1250">
        <f t="shared" si="117"/>
        <v>24887.087466042816</v>
      </c>
      <c r="AL151" s="1251">
        <f t="shared" si="118"/>
        <v>0</v>
      </c>
      <c r="AM151" s="1251">
        <f t="shared" si="119"/>
        <v>0</v>
      </c>
      <c r="AN151" s="1251">
        <f t="shared" si="120"/>
        <v>24887.087466042816</v>
      </c>
      <c r="AO151" s="1022">
        <f t="shared" si="121"/>
        <v>0</v>
      </c>
      <c r="AV151" s="119"/>
      <c r="AW151" s="119"/>
    </row>
    <row r="152" spans="1:49">
      <c r="A152" s="89">
        <f>'Input data'!A132</f>
        <v>2032</v>
      </c>
      <c r="B152" s="152">
        <f>'Input data'!B132</f>
        <v>67.08666821358311</v>
      </c>
      <c r="C152" s="204">
        <f>'Input data'!C132</f>
        <v>5536.7385220125598</v>
      </c>
      <c r="D152" s="475">
        <f>'Input data'!D132</f>
        <v>41255345.957373768</v>
      </c>
      <c r="E152" s="473">
        <f>'Input data'!J132*C152</f>
        <v>66612.753782067521</v>
      </c>
      <c r="F152" s="474">
        <f>'Input data'!L132</f>
        <v>107868.0997394413</v>
      </c>
      <c r="G152" s="474">
        <f>G137*(1-E6)</f>
        <v>13687.941669523079</v>
      </c>
      <c r="H152" s="474">
        <f t="shared" si="95"/>
        <v>63251.103424816232</v>
      </c>
      <c r="I152" s="475">
        <f t="shared" si="98"/>
        <v>41255.345957373771</v>
      </c>
      <c r="J152" s="579">
        <f t="shared" ref="J152:J170" si="131">J151</f>
        <v>0.4</v>
      </c>
      <c r="K152" s="474">
        <f t="shared" si="123"/>
        <v>13962.965134311924</v>
      </c>
      <c r="L152" s="474">
        <f t="shared" si="99"/>
        <v>0</v>
      </c>
      <c r="M152" s="475">
        <f t="shared" si="124"/>
        <v>13962.965134311924</v>
      </c>
      <c r="N152" s="579">
        <f t="shared" si="130"/>
        <v>0.5</v>
      </c>
      <c r="O152" s="475">
        <f t="shared" si="100"/>
        <v>751.91700000000026</v>
      </c>
      <c r="P152" s="1043">
        <f t="shared" si="127"/>
        <v>14714.882134311923</v>
      </c>
      <c r="Q152" s="467">
        <f t="shared" si="101"/>
        <v>62224.162960027388</v>
      </c>
      <c r="R152" s="467">
        <f t="shared" si="125"/>
        <v>48536.221290504312</v>
      </c>
      <c r="S152" s="1255">
        <f t="shared" si="102"/>
        <v>1.2953024760386178</v>
      </c>
      <c r="T152" s="118" t="str">
        <f t="shared" si="103"/>
        <v>No</v>
      </c>
      <c r="U152" s="1255">
        <f t="shared" si="104"/>
        <v>1</v>
      </c>
      <c r="V152" s="1268">
        <f t="shared" si="96"/>
        <v>70397.144353838172</v>
      </c>
      <c r="W152" s="1269">
        <f t="shared" si="97"/>
        <v>0.34737754235140295</v>
      </c>
      <c r="X152" s="473">
        <f t="shared" si="105"/>
        <v>24753.207574424261</v>
      </c>
      <c r="Y152" s="474">
        <f t="shared" si="106"/>
        <v>21836.363886437786</v>
      </c>
      <c r="Z152" s="474">
        <f t="shared" si="107"/>
        <v>3762.1138340559442</v>
      </c>
      <c r="AA152" s="474">
        <f t="shared" si="108"/>
        <v>0</v>
      </c>
      <c r="AB152" s="474">
        <f t="shared" si="109"/>
        <v>20045.459058920187</v>
      </c>
      <c r="AC152" s="474">
        <f t="shared" si="110"/>
        <v>70397.144353838172</v>
      </c>
      <c r="AD152" s="475">
        <f t="shared" si="111"/>
        <v>11065.265904901182</v>
      </c>
      <c r="AE152" s="100">
        <f t="shared" si="112"/>
        <v>0.35162232504782948</v>
      </c>
      <c r="AF152" s="100">
        <f t="shared" si="113"/>
        <v>0.31018820559938282</v>
      </c>
      <c r="AG152" s="100">
        <f t="shared" si="114"/>
        <v>5.3441284708174774E-2</v>
      </c>
      <c r="AH152" s="100">
        <f t="shared" si="126"/>
        <v>0</v>
      </c>
      <c r="AI152" s="100">
        <f t="shared" si="115"/>
        <v>0.28474818464461299</v>
      </c>
      <c r="AJ152" s="471">
        <f t="shared" si="116"/>
        <v>1</v>
      </c>
      <c r="AK152" s="1250">
        <f t="shared" si="117"/>
        <v>24753.207574424261</v>
      </c>
      <c r="AL152" s="1251">
        <f t="shared" si="118"/>
        <v>0</v>
      </c>
      <c r="AM152" s="1251">
        <f t="shared" si="119"/>
        <v>0</v>
      </c>
      <c r="AN152" s="1251">
        <f t="shared" si="120"/>
        <v>24753.207574424261</v>
      </c>
      <c r="AO152" s="1022">
        <f t="shared" si="121"/>
        <v>0</v>
      </c>
      <c r="AV152" s="119"/>
      <c r="AW152" s="119"/>
    </row>
    <row r="153" spans="1:49">
      <c r="A153" s="89">
        <f>'Input data'!A133</f>
        <v>2033</v>
      </c>
      <c r="B153" s="152">
        <f>'Input data'!B133</f>
        <v>67.659204065895452</v>
      </c>
      <c r="C153" s="204">
        <f>'Input data'!C133</f>
        <v>5692.5826618103829</v>
      </c>
      <c r="D153" s="475">
        <f>'Input data'!D133</f>
        <v>40262688.170007341</v>
      </c>
      <c r="E153" s="473">
        <f>'Input data'!J133*C153</f>
        <v>68487.721738646593</v>
      </c>
      <c r="F153" s="474">
        <f>'Input data'!L133</f>
        <v>108750.40990865394</v>
      </c>
      <c r="G153" s="474">
        <f>G152</f>
        <v>13687.941669523079</v>
      </c>
      <c r="H153" s="474">
        <f t="shared" si="95"/>
        <v>63395.411442229524</v>
      </c>
      <c r="I153" s="475">
        <f t="shared" si="98"/>
        <v>40262.688170007343</v>
      </c>
      <c r="J153" s="579">
        <f t="shared" si="131"/>
        <v>0.4</v>
      </c>
      <c r="K153" s="474">
        <f t="shared" si="123"/>
        <v>13626.997861376638</v>
      </c>
      <c r="L153" s="474">
        <f t="shared" si="99"/>
        <v>0</v>
      </c>
      <c r="M153" s="475">
        <f t="shared" si="124"/>
        <v>13626.997861376638</v>
      </c>
      <c r="N153" s="579">
        <f t="shared" si="130"/>
        <v>0.5</v>
      </c>
      <c r="O153" s="475">
        <f t="shared" si="100"/>
        <v>751.91700000000026</v>
      </c>
      <c r="P153" s="1043">
        <f t="shared" si="127"/>
        <v>14378.914861376637</v>
      </c>
      <c r="Q153" s="467">
        <f t="shared" si="101"/>
        <v>62704.438250375963</v>
      </c>
      <c r="R153" s="467">
        <f t="shared" si="125"/>
        <v>49016.49658085288</v>
      </c>
      <c r="S153" s="1255">
        <f t="shared" si="102"/>
        <v>1.2716091698307297</v>
      </c>
      <c r="T153" s="118" t="str">
        <f t="shared" si="103"/>
        <v>No</v>
      </c>
      <c r="U153" s="1255">
        <f t="shared" si="104"/>
        <v>1</v>
      </c>
      <c r="V153" s="1268">
        <f t="shared" si="96"/>
        <v>70203.584560282368</v>
      </c>
      <c r="W153" s="1269">
        <f t="shared" si="97"/>
        <v>0.35445223039388429</v>
      </c>
      <c r="X153" s="473">
        <f t="shared" si="105"/>
        <v>24157.612902004406</v>
      </c>
      <c r="Y153" s="474">
        <f t="shared" si="106"/>
        <v>21589.444720275085</v>
      </c>
      <c r="Z153" s="474">
        <f t="shared" si="107"/>
        <v>3846.8426928164727</v>
      </c>
      <c r="AA153" s="474">
        <f t="shared" si="108"/>
        <v>0</v>
      </c>
      <c r="AB153" s="474">
        <f t="shared" si="109"/>
        <v>20609.68424518641</v>
      </c>
      <c r="AC153" s="474">
        <f t="shared" si="110"/>
        <v>70203.584560282368</v>
      </c>
      <c r="AD153" s="475">
        <f t="shared" si="111"/>
        <v>10469.671232481327</v>
      </c>
      <c r="AE153" s="100">
        <f t="shared" si="112"/>
        <v>0.34410796903483987</v>
      </c>
      <c r="AF153" s="100">
        <f t="shared" si="113"/>
        <v>0.30752624464263184</v>
      </c>
      <c r="AG153" s="100">
        <f t="shared" si="114"/>
        <v>5.4795530981943924E-2</v>
      </c>
      <c r="AH153" s="100">
        <f t="shared" si="126"/>
        <v>0</v>
      </c>
      <c r="AI153" s="100">
        <f t="shared" si="115"/>
        <v>0.29357025534058451</v>
      </c>
      <c r="AJ153" s="471">
        <f t="shared" si="116"/>
        <v>1.0000000000000002</v>
      </c>
      <c r="AK153" s="1250">
        <f t="shared" si="117"/>
        <v>24157.612902004403</v>
      </c>
      <c r="AL153" s="1251">
        <f t="shared" si="118"/>
        <v>0</v>
      </c>
      <c r="AM153" s="1251">
        <f t="shared" si="119"/>
        <v>0</v>
      </c>
      <c r="AN153" s="1251">
        <f t="shared" si="120"/>
        <v>24157.612902004403</v>
      </c>
      <c r="AO153" s="1022">
        <f t="shared" si="121"/>
        <v>0</v>
      </c>
      <c r="AV153" s="119"/>
      <c r="AW153" s="119"/>
    </row>
    <row r="154" spans="1:49">
      <c r="A154" s="89">
        <f>'Input data'!A134</f>
        <v>2034</v>
      </c>
      <c r="B154" s="152">
        <f>'Input data'!B134</f>
        <v>68.236626094715163</v>
      </c>
      <c r="C154" s="204">
        <f>'Input data'!C134</f>
        <v>5868.7539844737303</v>
      </c>
      <c r="D154" s="475">
        <f>'Input data'!D134</f>
        <v>39656259.723391399</v>
      </c>
      <c r="E154" s="473">
        <f>'Input data'!J134*C154</f>
        <v>70607.24695974536</v>
      </c>
      <c r="F154" s="474">
        <f>'Input data'!L134</f>
        <v>110263.50668313676</v>
      </c>
      <c r="G154" s="474">
        <f t="shared" ref="G154:G170" si="132">G153</f>
        <v>13687.941669523079</v>
      </c>
      <c r="H154" s="474">
        <f t="shared" si="95"/>
        <v>64042.505957456451</v>
      </c>
      <c r="I154" s="475">
        <f t="shared" si="98"/>
        <v>39656.259723391398</v>
      </c>
      <c r="J154" s="579">
        <f t="shared" si="131"/>
        <v>0.4</v>
      </c>
      <c r="K154" s="474">
        <f t="shared" si="123"/>
        <v>13421.750782239251</v>
      </c>
      <c r="L154" s="474">
        <f t="shared" si="99"/>
        <v>0</v>
      </c>
      <c r="M154" s="475">
        <f t="shared" si="124"/>
        <v>13421.750782239251</v>
      </c>
      <c r="N154" s="579">
        <f t="shared" si="130"/>
        <v>0.5</v>
      </c>
      <c r="O154" s="475">
        <f t="shared" si="100"/>
        <v>751.91700000000026</v>
      </c>
      <c r="P154" s="1043">
        <f t="shared" si="127"/>
        <v>14173.66778223925</v>
      </c>
      <c r="Q154" s="467">
        <f t="shared" si="101"/>
        <v>63556.779844740275</v>
      </c>
      <c r="R154" s="467">
        <f t="shared" si="125"/>
        <v>49868.838175217199</v>
      </c>
      <c r="S154" s="1255">
        <f t="shared" si="102"/>
        <v>1.2541510465046863</v>
      </c>
      <c r="T154" s="118" t="str">
        <f t="shared" si="103"/>
        <v>No</v>
      </c>
      <c r="U154" s="1255">
        <f t="shared" si="104"/>
        <v>1</v>
      </c>
      <c r="V154" s="1268">
        <f t="shared" si="96"/>
        <v>70500.482672431332</v>
      </c>
      <c r="W154" s="1269">
        <f t="shared" si="97"/>
        <v>0.36061817011653796</v>
      </c>
      <c r="X154" s="473">
        <f t="shared" si="105"/>
        <v>23793.755834034837</v>
      </c>
      <c r="Y154" s="474">
        <f t="shared" si="106"/>
        <v>21516.600981573767</v>
      </c>
      <c r="Z154" s="474">
        <f t="shared" si="107"/>
        <v>3942.6229713368125</v>
      </c>
      <c r="AA154" s="474">
        <f t="shared" si="108"/>
        <v>0</v>
      </c>
      <c r="AB154" s="474">
        <f t="shared" si="109"/>
        <v>21247.502885485916</v>
      </c>
      <c r="AC154" s="474">
        <f t="shared" si="110"/>
        <v>70500.482672431332</v>
      </c>
      <c r="AD154" s="475">
        <f t="shared" si="111"/>
        <v>10105.814164511758</v>
      </c>
      <c r="AE154" s="100">
        <f t="shared" si="112"/>
        <v>0.33749777210162563</v>
      </c>
      <c r="AF154" s="100">
        <f t="shared" si="113"/>
        <v>0.30519792441063198</v>
      </c>
      <c r="AG154" s="100">
        <f t="shared" si="114"/>
        <v>5.5923347215302753E-2</v>
      </c>
      <c r="AH154" s="100">
        <f t="shared" si="126"/>
        <v>0</v>
      </c>
      <c r="AI154" s="100">
        <f t="shared" si="115"/>
        <v>0.30138095627243966</v>
      </c>
      <c r="AJ154" s="471">
        <f t="shared" si="116"/>
        <v>1</v>
      </c>
      <c r="AK154" s="1250">
        <f t="shared" si="117"/>
        <v>23793.755834034841</v>
      </c>
      <c r="AL154" s="1251">
        <f t="shared" si="118"/>
        <v>0</v>
      </c>
      <c r="AM154" s="1251">
        <f t="shared" si="119"/>
        <v>0</v>
      </c>
      <c r="AN154" s="1251">
        <f t="shared" si="120"/>
        <v>23793.755834034841</v>
      </c>
      <c r="AO154" s="1022">
        <f t="shared" si="121"/>
        <v>0</v>
      </c>
      <c r="AV154" s="119"/>
      <c r="AW154" s="119"/>
    </row>
    <row r="155" spans="1:49">
      <c r="A155" s="89">
        <f>'Input data'!A135</f>
        <v>2035</v>
      </c>
      <c r="B155" s="152">
        <f>'Input data'!B135</f>
        <v>68.818976000000006</v>
      </c>
      <c r="C155" s="204">
        <f>'Input data'!C135</f>
        <v>6036.7474148806386</v>
      </c>
      <c r="D155" s="475">
        <f>'Input data'!D135</f>
        <v>39791303.809178911</v>
      </c>
      <c r="E155" s="473">
        <f>'Input data'!J135*C155</f>
        <v>72628.383585975738</v>
      </c>
      <c r="F155" s="474">
        <f>'Input data'!L135</f>
        <v>112419.68739515464</v>
      </c>
      <c r="G155" s="474">
        <f t="shared" si="132"/>
        <v>13687.941669523079</v>
      </c>
      <c r="H155" s="474">
        <f t="shared" si="95"/>
        <v>65328.980971250305</v>
      </c>
      <c r="I155" s="475">
        <f t="shared" si="98"/>
        <v>39791.303809178913</v>
      </c>
      <c r="J155" s="579">
        <f t="shared" si="131"/>
        <v>0.4</v>
      </c>
      <c r="K155" s="474">
        <f t="shared" si="123"/>
        <v>13467.456758463384</v>
      </c>
      <c r="L155" s="474">
        <f t="shared" si="99"/>
        <v>0</v>
      </c>
      <c r="M155" s="475">
        <f t="shared" si="124"/>
        <v>13467.456758463384</v>
      </c>
      <c r="N155" s="579">
        <f t="shared" si="130"/>
        <v>0.5</v>
      </c>
      <c r="O155" s="475">
        <f t="shared" si="100"/>
        <v>751.91700000000026</v>
      </c>
      <c r="P155" s="1043">
        <f t="shared" si="127"/>
        <v>14219.373758463384</v>
      </c>
      <c r="Q155" s="467">
        <f t="shared" si="101"/>
        <v>64797.548882309995</v>
      </c>
      <c r="R155" s="467">
        <f t="shared" si="125"/>
        <v>51109.607212786912</v>
      </c>
      <c r="S155" s="1255">
        <f t="shared" si="102"/>
        <v>1.248928444070059</v>
      </c>
      <c r="T155" s="118" t="str">
        <f t="shared" si="103"/>
        <v>No</v>
      </c>
      <c r="U155" s="1255">
        <f t="shared" si="104"/>
        <v>1</v>
      </c>
      <c r="V155" s="1268">
        <f t="shared" si="96"/>
        <v>71496.920798352017</v>
      </c>
      <c r="W155" s="1269">
        <f t="shared" si="97"/>
        <v>0.36401779390258671</v>
      </c>
      <c r="X155" s="473">
        <f t="shared" si="105"/>
        <v>23874.782285507346</v>
      </c>
      <c r="Y155" s="474">
        <f t="shared" si="106"/>
        <v>21732.46748004089</v>
      </c>
      <c r="Z155" s="474">
        <f t="shared" si="107"/>
        <v>4033.9571187491515</v>
      </c>
      <c r="AA155" s="474">
        <f t="shared" si="108"/>
        <v>0</v>
      </c>
      <c r="AB155" s="474">
        <f t="shared" si="109"/>
        <v>21855.713914054621</v>
      </c>
      <c r="AC155" s="474">
        <f t="shared" si="110"/>
        <v>71496.920798352017</v>
      </c>
      <c r="AD155" s="475">
        <f t="shared" si="111"/>
        <v>10186.840615984267</v>
      </c>
      <c r="AE155" s="100">
        <f t="shared" si="112"/>
        <v>0.33392741979536628</v>
      </c>
      <c r="AF155" s="100">
        <f t="shared" si="113"/>
        <v>0.30396368455271738</v>
      </c>
      <c r="AG155" s="100">
        <f t="shared" si="114"/>
        <v>5.642141051257879E-2</v>
      </c>
      <c r="AH155" s="100">
        <f t="shared" si="126"/>
        <v>0</v>
      </c>
      <c r="AI155" s="100">
        <f t="shared" si="115"/>
        <v>0.30568748513933747</v>
      </c>
      <c r="AJ155" s="471">
        <f t="shared" si="116"/>
        <v>1</v>
      </c>
      <c r="AK155" s="1250">
        <f t="shared" si="117"/>
        <v>23874.782285507346</v>
      </c>
      <c r="AL155" s="1251">
        <f t="shared" si="118"/>
        <v>0</v>
      </c>
      <c r="AM155" s="1251">
        <f t="shared" si="119"/>
        <v>0</v>
      </c>
      <c r="AN155" s="1251">
        <f t="shared" si="120"/>
        <v>23874.782285507346</v>
      </c>
      <c r="AO155" s="1022">
        <f t="shared" si="121"/>
        <v>0</v>
      </c>
      <c r="AV155" s="119"/>
      <c r="AW155" s="119"/>
    </row>
    <row r="156" spans="1:49">
      <c r="A156" s="89">
        <f>'Input data'!A136</f>
        <v>2036</v>
      </c>
      <c r="B156" s="152">
        <f>'Input data'!B136</f>
        <v>69.322810489383542</v>
      </c>
      <c r="C156" s="204">
        <f>'Input data'!C136</f>
        <v>6215.8972497914319</v>
      </c>
      <c r="D156" s="475">
        <f>'Input data'!D136</f>
        <v>39216082.697226301</v>
      </c>
      <c r="E156" s="473">
        <f>'Input data'!J136*C156</f>
        <v>74783.743423823558</v>
      </c>
      <c r="F156" s="474">
        <f>'Input data'!L136</f>
        <v>113999.82612104986</v>
      </c>
      <c r="G156" s="474">
        <f t="shared" si="132"/>
        <v>13687.941669523079</v>
      </c>
      <c r="H156" s="474">
        <f t="shared" si="95"/>
        <v>66025.92423848818</v>
      </c>
      <c r="I156" s="475">
        <f t="shared" si="98"/>
        <v>39216.082697226302</v>
      </c>
      <c r="J156" s="579">
        <f t="shared" si="131"/>
        <v>0.4</v>
      </c>
      <c r="K156" s="474">
        <f t="shared" si="123"/>
        <v>13272.771872315217</v>
      </c>
      <c r="L156" s="474">
        <f t="shared" si="99"/>
        <v>0</v>
      </c>
      <c r="M156" s="475">
        <f t="shared" si="124"/>
        <v>13272.771872315217</v>
      </c>
      <c r="N156" s="579">
        <f t="shared" si="130"/>
        <v>0.5</v>
      </c>
      <c r="O156" s="475">
        <f t="shared" si="100"/>
        <v>751.91700000000026</v>
      </c>
      <c r="P156" s="1043">
        <f t="shared" si="127"/>
        <v>14024.688872315217</v>
      </c>
      <c r="Q156" s="467">
        <f t="shared" si="101"/>
        <v>65689.177035696033</v>
      </c>
      <c r="R156" s="467">
        <f t="shared" si="125"/>
        <v>52001.235366172958</v>
      </c>
      <c r="S156" s="1255">
        <f t="shared" si="102"/>
        <v>1.2334397122478211</v>
      </c>
      <c r="T156" s="118" t="str">
        <f t="shared" si="103"/>
        <v>No</v>
      </c>
      <c r="U156" s="1255">
        <f t="shared" si="104"/>
        <v>1</v>
      </c>
      <c r="V156" s="1268">
        <f t="shared" si="96"/>
        <v>71840.298703689623</v>
      </c>
      <c r="W156" s="1269">
        <f t="shared" si="97"/>
        <v>0.3698209800126665</v>
      </c>
      <c r="X156" s="473">
        <f t="shared" si="105"/>
        <v>23529.649618335781</v>
      </c>
      <c r="Y156" s="474">
        <f t="shared" si="106"/>
        <v>21674.976244705002</v>
      </c>
      <c r="Z156" s="474">
        <f t="shared" si="107"/>
        <v>4131.3567455738785</v>
      </c>
      <c r="AA156" s="474">
        <f t="shared" si="108"/>
        <v>0</v>
      </c>
      <c r="AB156" s="474">
        <f t="shared" si="109"/>
        <v>22504.316095074952</v>
      </c>
      <c r="AC156" s="474">
        <f t="shared" si="110"/>
        <v>71840.298703689623</v>
      </c>
      <c r="AD156" s="475">
        <f t="shared" si="111"/>
        <v>9841.7079488127019</v>
      </c>
      <c r="AE156" s="100">
        <f t="shared" si="112"/>
        <v>0.32752716849613167</v>
      </c>
      <c r="AF156" s="100">
        <f t="shared" si="113"/>
        <v>0.3017105529322055</v>
      </c>
      <c r="AG156" s="100">
        <f t="shared" si="114"/>
        <v>5.7507510688589294E-2</v>
      </c>
      <c r="AH156" s="100">
        <f t="shared" si="126"/>
        <v>0</v>
      </c>
      <c r="AI156" s="100">
        <f t="shared" si="115"/>
        <v>0.31325476788307338</v>
      </c>
      <c r="AJ156" s="471">
        <f t="shared" si="116"/>
        <v>0.99999999999999978</v>
      </c>
      <c r="AK156" s="1250">
        <f t="shared" si="117"/>
        <v>23529.649618335785</v>
      </c>
      <c r="AL156" s="1251">
        <f t="shared" si="118"/>
        <v>0</v>
      </c>
      <c r="AM156" s="1251">
        <f t="shared" si="119"/>
        <v>0</v>
      </c>
      <c r="AN156" s="1251">
        <f t="shared" si="120"/>
        <v>23529.649618335785</v>
      </c>
      <c r="AO156" s="1022">
        <f t="shared" si="121"/>
        <v>0</v>
      </c>
      <c r="AV156" s="119"/>
      <c r="AW156" s="119"/>
    </row>
    <row r="157" spans="1:49">
      <c r="A157" s="89">
        <f>'Input data'!A137</f>
        <v>2037</v>
      </c>
      <c r="B157" s="152">
        <f>'Input data'!B137</f>
        <v>69.830333629884052</v>
      </c>
      <c r="C157" s="204">
        <f>'Input data'!C137</f>
        <v>6413.8831516087803</v>
      </c>
      <c r="D157" s="475">
        <f>'Input data'!D137</f>
        <v>38325122.85038393</v>
      </c>
      <c r="E157" s="473">
        <f>'Input data'!J137*C157</f>
        <v>77165.720842053837</v>
      </c>
      <c r="F157" s="474">
        <f>'Input data'!L137</f>
        <v>115490.84369243777</v>
      </c>
      <c r="G157" s="474">
        <f t="shared" si="132"/>
        <v>13687.941669523079</v>
      </c>
      <c r="H157" s="474">
        <f t="shared" si="95"/>
        <v>66556.596557037235</v>
      </c>
      <c r="I157" s="475">
        <f t="shared" si="98"/>
        <v>38325.12285038393</v>
      </c>
      <c r="J157" s="579">
        <f t="shared" si="131"/>
        <v>0.4</v>
      </c>
      <c r="K157" s="474">
        <f t="shared" si="123"/>
        <v>12971.224497330513</v>
      </c>
      <c r="L157" s="474">
        <f t="shared" si="99"/>
        <v>0</v>
      </c>
      <c r="M157" s="475">
        <f t="shared" si="124"/>
        <v>12971.224497330513</v>
      </c>
      <c r="N157" s="579">
        <f t="shared" si="130"/>
        <v>0.5</v>
      </c>
      <c r="O157" s="475">
        <f t="shared" si="100"/>
        <v>751.91700000000026</v>
      </c>
      <c r="P157" s="1043">
        <f t="shared" si="127"/>
        <v>13723.141497330513</v>
      </c>
      <c r="Q157" s="467">
        <f t="shared" si="101"/>
        <v>66521.396729229804</v>
      </c>
      <c r="R157" s="467">
        <f t="shared" si="125"/>
        <v>52833.455059706728</v>
      </c>
      <c r="S157" s="1255">
        <f t="shared" si="102"/>
        <v>1.2138276655403368</v>
      </c>
      <c r="T157" s="118" t="str">
        <f t="shared" si="103"/>
        <v>No</v>
      </c>
      <c r="U157" s="1255">
        <f t="shared" si="104"/>
        <v>1</v>
      </c>
      <c r="V157" s="1268">
        <f t="shared" si="96"/>
        <v>71964.520673438325</v>
      </c>
      <c r="W157" s="1269">
        <f t="shared" si="97"/>
        <v>0.37688115895069452</v>
      </c>
      <c r="X157" s="473">
        <f t="shared" si="105"/>
        <v>22995.073710230357</v>
      </c>
      <c r="Y157" s="474">
        <f t="shared" si="106"/>
        <v>21509.336630014866</v>
      </c>
      <c r="Z157" s="474">
        <f t="shared" si="107"/>
        <v>4238.9971068567629</v>
      </c>
      <c r="AA157" s="474">
        <f t="shared" si="108"/>
        <v>0</v>
      </c>
      <c r="AB157" s="474">
        <f t="shared" si="109"/>
        <v>23221.113226336343</v>
      </c>
      <c r="AC157" s="474">
        <f t="shared" si="110"/>
        <v>71964.520673438325</v>
      </c>
      <c r="AD157" s="475">
        <f t="shared" si="111"/>
        <v>9307.1320407072781</v>
      </c>
      <c r="AE157" s="100">
        <f t="shared" si="112"/>
        <v>0.31953347976258673</v>
      </c>
      <c r="AF157" s="100">
        <f t="shared" si="113"/>
        <v>0.2988880691309021</v>
      </c>
      <c r="AG157" s="100">
        <f t="shared" si="114"/>
        <v>5.8903985841753152E-2</v>
      </c>
      <c r="AH157" s="100">
        <f t="shared" si="126"/>
        <v>0</v>
      </c>
      <c r="AI157" s="100">
        <f t="shared" si="115"/>
        <v>0.32267446526475813</v>
      </c>
      <c r="AJ157" s="471">
        <f t="shared" si="116"/>
        <v>1</v>
      </c>
      <c r="AK157" s="1250">
        <f t="shared" si="117"/>
        <v>22995.073710230361</v>
      </c>
      <c r="AL157" s="1251">
        <f t="shared" si="118"/>
        <v>0</v>
      </c>
      <c r="AM157" s="1251">
        <f t="shared" si="119"/>
        <v>0</v>
      </c>
      <c r="AN157" s="1251">
        <f t="shared" si="120"/>
        <v>22995.073710230361</v>
      </c>
      <c r="AO157" s="1022">
        <f t="shared" si="121"/>
        <v>0</v>
      </c>
      <c r="AV157" s="119"/>
      <c r="AW157" s="119"/>
    </row>
    <row r="158" spans="1:49">
      <c r="A158" s="89">
        <f>'Input data'!A138</f>
        <v>2038</v>
      </c>
      <c r="B158" s="152">
        <f>'Input data'!B138</f>
        <v>70.341572426693446</v>
      </c>
      <c r="C158" s="204">
        <f>'Input data'!C138</f>
        <v>6601.8179471225203</v>
      </c>
      <c r="D158" s="475">
        <f>'Input data'!D138</f>
        <v>36655559.518641047</v>
      </c>
      <c r="E158" s="473">
        <f>'Input data'!J138*C158</f>
        <v>79426.772941745454</v>
      </c>
      <c r="F158" s="474">
        <f>'Input data'!L138</f>
        <v>116082.3324603865</v>
      </c>
      <c r="G158" s="474">
        <f t="shared" si="132"/>
        <v>13687.941669523079</v>
      </c>
      <c r="H158" s="474">
        <f t="shared" si="95"/>
        <v>66287.198865709492</v>
      </c>
      <c r="I158" s="475">
        <f t="shared" si="98"/>
        <v>36655.55951864105</v>
      </c>
      <c r="J158" s="579">
        <f t="shared" si="131"/>
        <v>0.4</v>
      </c>
      <c r="K158" s="474">
        <f t="shared" si="123"/>
        <v>12406.157012143547</v>
      </c>
      <c r="L158" s="474">
        <f t="shared" si="99"/>
        <v>0</v>
      </c>
      <c r="M158" s="475">
        <f t="shared" si="124"/>
        <v>12406.157012143547</v>
      </c>
      <c r="N158" s="579">
        <f t="shared" si="130"/>
        <v>0.5</v>
      </c>
      <c r="O158" s="475">
        <f t="shared" si="100"/>
        <v>751.91700000000026</v>
      </c>
      <c r="P158" s="1043">
        <f t="shared" si="127"/>
        <v>13158.074012143546</v>
      </c>
      <c r="Q158" s="467">
        <f t="shared" si="101"/>
        <v>66817.066523089015</v>
      </c>
      <c r="R158" s="467">
        <f t="shared" si="125"/>
        <v>53129.12485356594</v>
      </c>
      <c r="S158" s="1255">
        <f t="shared" si="102"/>
        <v>1.1852901106450466</v>
      </c>
      <c r="T158" s="118" t="str">
        <f t="shared" si="103"/>
        <v>No</v>
      </c>
      <c r="U158" s="1255">
        <f t="shared" si="104"/>
        <v>1</v>
      </c>
      <c r="V158" s="1268">
        <f t="shared" si="96"/>
        <v>71258.601648482116</v>
      </c>
      <c r="W158" s="1269">
        <f t="shared" si="97"/>
        <v>0.38613740663076912</v>
      </c>
      <c r="X158" s="473">
        <f t="shared" si="105"/>
        <v>21993.335711184631</v>
      </c>
      <c r="Y158" s="474">
        <f t="shared" si="106"/>
        <v>21022.572146631192</v>
      </c>
      <c r="Z158" s="474">
        <f t="shared" si="107"/>
        <v>4341.1729138260207</v>
      </c>
      <c r="AA158" s="474">
        <f t="shared" si="108"/>
        <v>0</v>
      </c>
      <c r="AB158" s="474">
        <f t="shared" si="109"/>
        <v>23901.520876840281</v>
      </c>
      <c r="AC158" s="474">
        <f t="shared" si="110"/>
        <v>71258.601648482116</v>
      </c>
      <c r="AD158" s="475">
        <f t="shared" si="111"/>
        <v>8305.3940416615515</v>
      </c>
      <c r="AE158" s="100">
        <f t="shared" si="112"/>
        <v>0.30864113527904335</v>
      </c>
      <c r="AF158" s="100">
        <f t="shared" si="113"/>
        <v>0.29501802814396083</v>
      </c>
      <c r="AG158" s="100">
        <f t="shared" si="114"/>
        <v>6.0921387922274674E-2</v>
      </c>
      <c r="AH158" s="100">
        <f t="shared" si="126"/>
        <v>0</v>
      </c>
      <c r="AI158" s="100">
        <f t="shared" si="115"/>
        <v>0.33541944865472123</v>
      </c>
      <c r="AJ158" s="471">
        <f t="shared" si="116"/>
        <v>1</v>
      </c>
      <c r="AK158" s="1250">
        <f t="shared" si="117"/>
        <v>21993.335711184631</v>
      </c>
      <c r="AL158" s="1251">
        <f t="shared" si="118"/>
        <v>0</v>
      </c>
      <c r="AM158" s="1251">
        <f t="shared" si="119"/>
        <v>0</v>
      </c>
      <c r="AN158" s="1251">
        <f t="shared" si="120"/>
        <v>21993.335711184631</v>
      </c>
      <c r="AO158" s="1022">
        <f t="shared" si="121"/>
        <v>0</v>
      </c>
      <c r="AV158" s="119"/>
      <c r="AW158" s="119"/>
    </row>
    <row r="159" spans="1:49">
      <c r="A159" s="89">
        <f>'Input data'!A139</f>
        <v>2039</v>
      </c>
      <c r="B159" s="152">
        <f>'Input data'!B139</f>
        <v>70.856554082712819</v>
      </c>
      <c r="C159" s="204">
        <f>'Input data'!C139</f>
        <v>6791.0078131349956</v>
      </c>
      <c r="D159" s="475">
        <f>'Input data'!D139</f>
        <v>34985996.186898179</v>
      </c>
      <c r="E159" s="473">
        <f>'Input data'!J139*C159</f>
        <v>81702.924851872231</v>
      </c>
      <c r="F159" s="474">
        <f>'Input data'!L139</f>
        <v>116688.92103877041</v>
      </c>
      <c r="G159" s="474">
        <f t="shared" si="132"/>
        <v>13687.941669523079</v>
      </c>
      <c r="H159" s="474">
        <f t="shared" si="95"/>
        <v>66026.465553116155</v>
      </c>
      <c r="I159" s="475">
        <f t="shared" si="98"/>
        <v>34985.996186898177</v>
      </c>
      <c r="J159" s="579">
        <f t="shared" si="131"/>
        <v>0.4</v>
      </c>
      <c r="K159" s="474">
        <f t="shared" si="123"/>
        <v>11841.089526956583</v>
      </c>
      <c r="L159" s="474">
        <f t="shared" si="99"/>
        <v>0</v>
      </c>
      <c r="M159" s="475">
        <f t="shared" si="124"/>
        <v>11841.089526956583</v>
      </c>
      <c r="N159" s="579">
        <f t="shared" si="130"/>
        <v>0.5</v>
      </c>
      <c r="O159" s="475">
        <f t="shared" si="100"/>
        <v>751.91700000000026</v>
      </c>
      <c r="P159" s="1043">
        <f t="shared" si="127"/>
        <v>12593.006526956582</v>
      </c>
      <c r="Q159" s="467">
        <f t="shared" si="101"/>
        <v>67121.400695682649</v>
      </c>
      <c r="R159" s="467">
        <f t="shared" si="125"/>
        <v>53433.459026159573</v>
      </c>
      <c r="S159" s="1255">
        <f t="shared" si="102"/>
        <v>1.1583283597638887</v>
      </c>
      <c r="T159" s="118" t="str">
        <f t="shared" si="103"/>
        <v>No</v>
      </c>
      <c r="U159" s="1255">
        <f t="shared" si="104"/>
        <v>1</v>
      </c>
      <c r="V159" s="1268">
        <f t="shared" si="96"/>
        <v>70559.118055226674</v>
      </c>
      <c r="W159" s="1269">
        <f t="shared" si="97"/>
        <v>0.39532290274769877</v>
      </c>
      <c r="X159" s="473">
        <f t="shared" si="105"/>
        <v>20991.597712138904</v>
      </c>
      <c r="Y159" s="474">
        <f t="shared" si="106"/>
        <v>20537.016827999734</v>
      </c>
      <c r="Z159" s="474">
        <f t="shared" si="107"/>
        <v>4444.0310736329275</v>
      </c>
      <c r="AA159" s="474">
        <f t="shared" si="108"/>
        <v>0</v>
      </c>
      <c r="AB159" s="474">
        <f t="shared" si="109"/>
        <v>24586.472441455106</v>
      </c>
      <c r="AC159" s="474">
        <f t="shared" si="110"/>
        <v>70559.118055226674</v>
      </c>
      <c r="AD159" s="475">
        <f t="shared" si="111"/>
        <v>7303.6560426158248</v>
      </c>
      <c r="AE159" s="100">
        <f t="shared" si="112"/>
        <v>0.29750368613888806</v>
      </c>
      <c r="AF159" s="100">
        <f t="shared" si="113"/>
        <v>0.29106113276423601</v>
      </c>
      <c r="AG159" s="100">
        <f t="shared" si="114"/>
        <v>6.2983087035676677E-2</v>
      </c>
      <c r="AH159" s="100">
        <f t="shared" si="126"/>
        <v>0</v>
      </c>
      <c r="AI159" s="100">
        <f t="shared" si="115"/>
        <v>0.3484520940611992</v>
      </c>
      <c r="AJ159" s="471">
        <f t="shared" si="116"/>
        <v>1</v>
      </c>
      <c r="AK159" s="1250">
        <f t="shared" si="117"/>
        <v>20991.597712138908</v>
      </c>
      <c r="AL159" s="1251">
        <f t="shared" si="118"/>
        <v>0</v>
      </c>
      <c r="AM159" s="1251">
        <f t="shared" si="119"/>
        <v>0</v>
      </c>
      <c r="AN159" s="1251">
        <f t="shared" si="120"/>
        <v>20991.597712138908</v>
      </c>
      <c r="AO159" s="1022">
        <f t="shared" si="121"/>
        <v>0</v>
      </c>
      <c r="AV159" s="119"/>
      <c r="AW159" s="119"/>
    </row>
    <row r="160" spans="1:49">
      <c r="A160" s="89">
        <f>'Input data'!A140</f>
        <v>2040</v>
      </c>
      <c r="B160" s="152">
        <f>'Input data'!B140</f>
        <v>71.375305999999995</v>
      </c>
      <c r="C160" s="204">
        <f>'Input data'!C140</f>
        <v>6984.5262976576987</v>
      </c>
      <c r="D160" s="475">
        <f>'Input data'!D140</f>
        <v>33316432.855155304</v>
      </c>
      <c r="E160" s="473">
        <f>'Input data'!J140*C160</f>
        <v>84031.154568796614</v>
      </c>
      <c r="F160" s="474">
        <f>'Input data'!L140</f>
        <v>117347.58742395192</v>
      </c>
      <c r="G160" s="474">
        <f t="shared" si="132"/>
        <v>13687.941669523079</v>
      </c>
      <c r="H160" s="474">
        <f t="shared" si="95"/>
        <v>65795.614856843706</v>
      </c>
      <c r="I160" s="475">
        <f t="shared" si="98"/>
        <v>33316.432855155304</v>
      </c>
      <c r="J160" s="579">
        <f t="shared" si="131"/>
        <v>0.4</v>
      </c>
      <c r="K160" s="474">
        <f t="shared" si="123"/>
        <v>11276.02204176962</v>
      </c>
      <c r="L160" s="474">
        <f t="shared" si="99"/>
        <v>0</v>
      </c>
      <c r="M160" s="475">
        <f t="shared" si="124"/>
        <v>11276.02204176962</v>
      </c>
      <c r="N160" s="579">
        <f t="shared" si="130"/>
        <v>0.5</v>
      </c>
      <c r="O160" s="475">
        <f t="shared" si="100"/>
        <v>751.91700000000026</v>
      </c>
      <c r="P160" s="1043">
        <f t="shared" si="127"/>
        <v>12027.93904176962</v>
      </c>
      <c r="Q160" s="467">
        <f t="shared" si="101"/>
        <v>67455.617484597169</v>
      </c>
      <c r="R160" s="467">
        <f t="shared" si="125"/>
        <v>53767.675815074093</v>
      </c>
      <c r="S160" s="1255">
        <f t="shared" si="102"/>
        <v>1.132767669567333</v>
      </c>
      <c r="T160" s="118" t="str">
        <f t="shared" si="103"/>
        <v>No</v>
      </c>
      <c r="U160" s="1255">
        <f t="shared" si="104"/>
        <v>1</v>
      </c>
      <c r="V160" s="1268">
        <f t="shared" si="96"/>
        <v>69881.829652447952</v>
      </c>
      <c r="W160" s="1269">
        <f t="shared" si="97"/>
        <v>0.4044885695009669</v>
      </c>
      <c r="X160" s="473">
        <f t="shared" si="105"/>
        <v>19989.859713093181</v>
      </c>
      <c r="Y160" s="474">
        <f t="shared" si="106"/>
        <v>20055.63180333472</v>
      </c>
      <c r="Z160" s="474">
        <f t="shared" si="107"/>
        <v>4549.242603331425</v>
      </c>
      <c r="AA160" s="474">
        <f t="shared" si="108"/>
        <v>0</v>
      </c>
      <c r="AB160" s="474">
        <f t="shared" si="109"/>
        <v>25287.095532688621</v>
      </c>
      <c r="AC160" s="474">
        <f t="shared" si="110"/>
        <v>69881.829652447952</v>
      </c>
      <c r="AD160" s="1240">
        <f t="shared" si="111"/>
        <v>6301.9180435701019</v>
      </c>
      <c r="AE160" s="100">
        <f t="shared" si="112"/>
        <v>0.28605232307899281</v>
      </c>
      <c r="AF160" s="100">
        <f t="shared" si="113"/>
        <v>0.28699351323627192</v>
      </c>
      <c r="AG160" s="100">
        <f t="shared" si="114"/>
        <v>6.5099076912507048E-2</v>
      </c>
      <c r="AH160" s="100">
        <f t="shared" si="126"/>
        <v>0</v>
      </c>
      <c r="AI160" s="100">
        <f t="shared" si="115"/>
        <v>0.36185508677222816</v>
      </c>
      <c r="AJ160" s="471">
        <f t="shared" si="116"/>
        <v>1</v>
      </c>
      <c r="AK160" s="1250">
        <f t="shared" si="117"/>
        <v>19989.859713093181</v>
      </c>
      <c r="AL160" s="1251">
        <f t="shared" si="118"/>
        <v>0</v>
      </c>
      <c r="AM160" s="1251">
        <f t="shared" si="119"/>
        <v>0</v>
      </c>
      <c r="AN160" s="1251">
        <f t="shared" si="120"/>
        <v>19989.859713093181</v>
      </c>
      <c r="AO160" s="1022">
        <f t="shared" si="121"/>
        <v>0</v>
      </c>
      <c r="AV160" s="119"/>
      <c r="AW160" s="119"/>
    </row>
    <row r="161" spans="1:49">
      <c r="A161" s="89">
        <f>'Input data'!A141</f>
        <v>2041</v>
      </c>
      <c r="B161" s="152">
        <f>'Input data'!B141</f>
        <v>71.818612994947316</v>
      </c>
      <c r="C161" s="204">
        <f>'Input data'!C141</f>
        <v>7185.3982187188903</v>
      </c>
      <c r="D161" s="475">
        <f>'Input data'!D141</f>
        <v>30696987.018642712</v>
      </c>
      <c r="E161" s="473">
        <f>'Input data'!J141*C161</f>
        <v>86447.853816229443</v>
      </c>
      <c r="F161" s="474">
        <f>'Input data'!L141</f>
        <v>117144.84083487216</v>
      </c>
      <c r="G161" s="474">
        <f t="shared" si="132"/>
        <v>13687.941669523079</v>
      </c>
      <c r="H161" s="474">
        <f t="shared" si="95"/>
        <v>64724.109222386993</v>
      </c>
      <c r="I161" s="475">
        <f t="shared" si="98"/>
        <v>30696.987018642711</v>
      </c>
      <c r="J161" s="579">
        <f t="shared" si="131"/>
        <v>0.4</v>
      </c>
      <c r="K161" s="474">
        <f t="shared" si="123"/>
        <v>10389.464674774455</v>
      </c>
      <c r="L161" s="474">
        <f t="shared" si="99"/>
        <v>0</v>
      </c>
      <c r="M161" s="475">
        <f t="shared" si="124"/>
        <v>10389.464674774455</v>
      </c>
      <c r="N161" s="579">
        <f t="shared" si="130"/>
        <v>0.5</v>
      </c>
      <c r="O161" s="475">
        <f t="shared" si="100"/>
        <v>751.91700000000026</v>
      </c>
      <c r="P161" s="1043">
        <f t="shared" si="127"/>
        <v>11141.381674774455</v>
      </c>
      <c r="Q161" s="467">
        <f t="shared" si="101"/>
        <v>67270.669217135612</v>
      </c>
      <c r="R161" s="467">
        <f t="shared" si="125"/>
        <v>53582.727547612536</v>
      </c>
      <c r="S161" s="1255">
        <f t="shared" si="102"/>
        <v>1.0968272405324797</v>
      </c>
      <c r="T161" s="118" t="str">
        <f t="shared" si="103"/>
        <v>No</v>
      </c>
      <c r="U161" s="1255">
        <f t="shared" si="104"/>
        <v>1</v>
      </c>
      <c r="V161" s="1268">
        <f t="shared" si="96"/>
        <v>68292.363828922185</v>
      </c>
      <c r="W161" s="1269">
        <f t="shared" si="97"/>
        <v>0.41702627838995165</v>
      </c>
      <c r="X161" s="473">
        <f t="shared" si="105"/>
        <v>18418.192211185626</v>
      </c>
      <c r="Y161" s="474">
        <f t="shared" si="106"/>
        <v>19201.378252318307</v>
      </c>
      <c r="Z161" s="474">
        <f t="shared" si="107"/>
        <v>4658.452026609255</v>
      </c>
      <c r="AA161" s="474">
        <f t="shared" si="108"/>
        <v>0</v>
      </c>
      <c r="AB161" s="474">
        <f t="shared" si="109"/>
        <v>26014.341338808998</v>
      </c>
      <c r="AC161" s="474">
        <f t="shared" si="110"/>
        <v>68292.363828922185</v>
      </c>
      <c r="AD161" s="1240">
        <f t="shared" si="111"/>
        <v>4730.2505416625463</v>
      </c>
      <c r="AE161" s="100">
        <f t="shared" si="112"/>
        <v>0.26969621753501849</v>
      </c>
      <c r="AF161" s="100">
        <f t="shared" si="113"/>
        <v>0.2811643524365226</v>
      </c>
      <c r="AG161" s="100">
        <f t="shared" si="114"/>
        <v>6.8213366259792213E-2</v>
      </c>
      <c r="AH161" s="100">
        <f t="shared" si="126"/>
        <v>0</v>
      </c>
      <c r="AI161" s="100">
        <f t="shared" si="115"/>
        <v>0.38092606376866667</v>
      </c>
      <c r="AJ161" s="471">
        <f t="shared" si="116"/>
        <v>1</v>
      </c>
      <c r="AK161" s="1250">
        <f t="shared" si="117"/>
        <v>18418.192211185626</v>
      </c>
      <c r="AL161" s="1251">
        <f t="shared" si="118"/>
        <v>0</v>
      </c>
      <c r="AM161" s="1251">
        <f t="shared" si="119"/>
        <v>0</v>
      </c>
      <c r="AN161" s="1251">
        <f t="shared" si="120"/>
        <v>18418.192211185626</v>
      </c>
      <c r="AO161" s="1022">
        <f t="shared" si="121"/>
        <v>0</v>
      </c>
      <c r="AV161" s="119"/>
      <c r="AW161" s="119"/>
    </row>
    <row r="162" spans="1:49">
      <c r="A162" s="89">
        <f>'Input data'!A142</f>
        <v>2042</v>
      </c>
      <c r="B162" s="152">
        <f>'Input data'!B142</f>
        <v>72.264673338395411</v>
      </c>
      <c r="C162" s="204">
        <f>'Input data'!C142</f>
        <v>7378.5415978844649</v>
      </c>
      <c r="D162" s="475">
        <f>'Input data'!D142</f>
        <v>28077541.182130113</v>
      </c>
      <c r="E162" s="473">
        <f>'Input data'!J142*C162</f>
        <v>88771.570623487351</v>
      </c>
      <c r="F162" s="474">
        <f>'Input data'!L142</f>
        <v>116849.11180561746</v>
      </c>
      <c r="G162" s="474">
        <f t="shared" si="132"/>
        <v>13687.941669523079</v>
      </c>
      <c r="H162" s="474">
        <f t="shared" si="95"/>
        <v>63599.249601747128</v>
      </c>
      <c r="I162" s="475">
        <f t="shared" si="98"/>
        <v>28077.541182130113</v>
      </c>
      <c r="J162" s="579">
        <f t="shared" si="131"/>
        <v>0.4</v>
      </c>
      <c r="K162" s="474">
        <f t="shared" si="123"/>
        <v>9502.9073077792909</v>
      </c>
      <c r="L162" s="474">
        <f t="shared" si="99"/>
        <v>0</v>
      </c>
      <c r="M162" s="475">
        <f t="shared" si="124"/>
        <v>9502.9073077792909</v>
      </c>
      <c r="N162" s="579">
        <f t="shared" si="130"/>
        <v>0.5</v>
      </c>
      <c r="O162" s="475">
        <f t="shared" si="100"/>
        <v>751.91700000000026</v>
      </c>
      <c r="P162" s="1043">
        <f t="shared" si="127"/>
        <v>10254.82430777929</v>
      </c>
      <c r="Q162" s="467">
        <f t="shared" si="101"/>
        <v>67032.366963490917</v>
      </c>
      <c r="R162" s="467">
        <f t="shared" si="125"/>
        <v>53344.425293967841</v>
      </c>
      <c r="S162" s="1255">
        <f t="shared" si="102"/>
        <v>1.0629377309990218</v>
      </c>
      <c r="T162" s="118" t="str">
        <f t="shared" si="103"/>
        <v>No</v>
      </c>
      <c r="U162" s="1255">
        <f t="shared" si="104"/>
        <v>1</v>
      </c>
      <c r="V162" s="1268">
        <f t="shared" si="96"/>
        <v>66663.269551404621</v>
      </c>
      <c r="W162" s="1269">
        <f t="shared" si="97"/>
        <v>0.42949271482438589</v>
      </c>
      <c r="X162" s="473">
        <f t="shared" si="105"/>
        <v>16846.524709278066</v>
      </c>
      <c r="Y162" s="474">
        <f t="shared" si="106"/>
        <v>18339.678840327881</v>
      </c>
      <c r="Z162" s="474">
        <f t="shared" si="107"/>
        <v>4763.4596201901322</v>
      </c>
      <c r="AA162" s="474">
        <f t="shared" si="108"/>
        <v>0</v>
      </c>
      <c r="AB162" s="474">
        <f t="shared" si="109"/>
        <v>26713.606381608544</v>
      </c>
      <c r="AC162" s="474">
        <f t="shared" si="110"/>
        <v>66663.269551404621</v>
      </c>
      <c r="AD162" s="1240">
        <f t="shared" si="111"/>
        <v>3158.5830397549871</v>
      </c>
      <c r="AE162" s="100">
        <f t="shared" si="112"/>
        <v>0.25271074795225229</v>
      </c>
      <c r="AF162" s="100">
        <f t="shared" si="113"/>
        <v>0.27510920126991367</v>
      </c>
      <c r="AG162" s="100">
        <f t="shared" si="114"/>
        <v>7.1455535443202156E-2</v>
      </c>
      <c r="AH162" s="100">
        <f t="shared" si="126"/>
        <v>0</v>
      </c>
      <c r="AI162" s="100">
        <f t="shared" si="115"/>
        <v>0.40072451533463194</v>
      </c>
      <c r="AJ162" s="471">
        <f t="shared" si="116"/>
        <v>1</v>
      </c>
      <c r="AK162" s="1250">
        <f t="shared" si="117"/>
        <v>16846.524709278063</v>
      </c>
      <c r="AL162" s="1251">
        <f t="shared" si="118"/>
        <v>0</v>
      </c>
      <c r="AM162" s="1251">
        <f t="shared" si="119"/>
        <v>0</v>
      </c>
      <c r="AN162" s="1251">
        <f t="shared" si="120"/>
        <v>16846.524709278063</v>
      </c>
      <c r="AO162" s="1022">
        <f t="shared" si="121"/>
        <v>0</v>
      </c>
      <c r="AV162" s="119"/>
      <c r="AW162" s="119"/>
    </row>
    <row r="163" spans="1:49">
      <c r="A163" s="89">
        <f>'Input data'!A143</f>
        <v>2043</v>
      </c>
      <c r="B163" s="152">
        <f>'Input data'!B143</f>
        <v>72.713504131197794</v>
      </c>
      <c r="C163" s="204">
        <f>'Input data'!C143</f>
        <v>7577.166622606117</v>
      </c>
      <c r="D163" s="475">
        <f>'Input data'!D143</f>
        <v>25458095.345617522</v>
      </c>
      <c r="E163" s="473">
        <f>'Input data'!J143*C163</f>
        <v>91161.237358540457</v>
      </c>
      <c r="F163" s="474">
        <f>'Input data'!L143</f>
        <v>116619.33270415798</v>
      </c>
      <c r="G163" s="474">
        <f t="shared" si="132"/>
        <v>13687.941669523079</v>
      </c>
      <c r="H163" s="474">
        <f t="shared" si="95"/>
        <v>62512.232519222482</v>
      </c>
      <c r="I163" s="475">
        <f t="shared" si="98"/>
        <v>25458.095345617523</v>
      </c>
      <c r="J163" s="579">
        <f t="shared" si="131"/>
        <v>0.4</v>
      </c>
      <c r="K163" s="474">
        <f t="shared" si="123"/>
        <v>8616.3499407841264</v>
      </c>
      <c r="L163" s="474">
        <f t="shared" si="99"/>
        <v>0</v>
      </c>
      <c r="M163" s="475">
        <f t="shared" si="124"/>
        <v>8616.3499407841264</v>
      </c>
      <c r="N163" s="579">
        <f t="shared" si="130"/>
        <v>0.5</v>
      </c>
      <c r="O163" s="475">
        <f t="shared" si="100"/>
        <v>751.91700000000026</v>
      </c>
      <c r="P163" s="1043">
        <f t="shared" si="127"/>
        <v>9368.2669407841258</v>
      </c>
      <c r="Q163" s="467">
        <f t="shared" si="101"/>
        <v>66831.907247961426</v>
      </c>
      <c r="R163" s="467">
        <f t="shared" si="125"/>
        <v>53143.96557843835</v>
      </c>
      <c r="S163" s="1255">
        <f t="shared" si="102"/>
        <v>1.0307797970713619</v>
      </c>
      <c r="T163" s="118" t="str">
        <f t="shared" si="103"/>
        <v>No</v>
      </c>
      <c r="U163" s="1255">
        <f t="shared" si="104"/>
        <v>1</v>
      </c>
      <c r="V163" s="1268">
        <f t="shared" si="96"/>
        <v>65062.282663567079</v>
      </c>
      <c r="W163" s="1269">
        <f t="shared" si="97"/>
        <v>0.44209693920459781</v>
      </c>
      <c r="X163" s="473">
        <f t="shared" si="105"/>
        <v>15274.857207370513</v>
      </c>
      <c r="Y163" s="474">
        <f t="shared" si="106"/>
        <v>17483.260575967972</v>
      </c>
      <c r="Z163" s="474">
        <f t="shared" si="107"/>
        <v>4871.4474578321506</v>
      </c>
      <c r="AA163" s="474">
        <f t="shared" si="108"/>
        <v>0</v>
      </c>
      <c r="AB163" s="474">
        <f t="shared" si="109"/>
        <v>27432.717422396443</v>
      </c>
      <c r="AC163" s="474">
        <f t="shared" si="110"/>
        <v>65062.282663567079</v>
      </c>
      <c r="AD163" s="1240">
        <f t="shared" si="111"/>
        <v>1586.9155378474334</v>
      </c>
      <c r="AE163" s="100">
        <f t="shared" si="112"/>
        <v>0.23477284506533266</v>
      </c>
      <c r="AF163" s="100">
        <f t="shared" si="113"/>
        <v>0.26871575758220473</v>
      </c>
      <c r="AG163" s="100">
        <f t="shared" si="114"/>
        <v>7.4873602007204318E-2</v>
      </c>
      <c r="AH163" s="100">
        <f t="shared" si="126"/>
        <v>0</v>
      </c>
      <c r="AI163" s="100">
        <f t="shared" si="115"/>
        <v>0.4216377953452583</v>
      </c>
      <c r="AJ163" s="471">
        <f t="shared" si="116"/>
        <v>1</v>
      </c>
      <c r="AK163" s="1250">
        <f t="shared" si="117"/>
        <v>15274.857207370515</v>
      </c>
      <c r="AL163" s="1251">
        <f t="shared" si="118"/>
        <v>0</v>
      </c>
      <c r="AM163" s="1251">
        <f t="shared" si="119"/>
        <v>0</v>
      </c>
      <c r="AN163" s="1251">
        <f t="shared" si="120"/>
        <v>15274.857207370515</v>
      </c>
      <c r="AO163" s="1022">
        <f t="shared" si="121"/>
        <v>0</v>
      </c>
      <c r="AV163" s="119"/>
      <c r="AW163" s="119"/>
    </row>
    <row r="164" spans="1:49">
      <c r="A164" s="89">
        <f>'Input data'!A144</f>
        <v>2044</v>
      </c>
      <c r="B164" s="152">
        <f>'Input data'!B144</f>
        <v>73.165122580420132</v>
      </c>
      <c r="C164" s="204">
        <f>'Input data'!C144</f>
        <v>7783.6023406905715</v>
      </c>
      <c r="D164" s="475">
        <f>'Input data'!D144</f>
        <v>22838649.509104934</v>
      </c>
      <c r="E164" s="473">
        <f>'Input data'!J144*C164</f>
        <v>93644.874901818475</v>
      </c>
      <c r="F164" s="474">
        <f>'Input data'!L144</f>
        <v>116483.5244109234</v>
      </c>
      <c r="G164" s="474">
        <f t="shared" si="132"/>
        <v>13687.941669523079</v>
      </c>
      <c r="H164" s="474">
        <f t="shared" si="95"/>
        <v>61479.136555504956</v>
      </c>
      <c r="I164" s="475">
        <f t="shared" si="98"/>
        <v>22838.649509104933</v>
      </c>
      <c r="J164" s="579">
        <f t="shared" si="131"/>
        <v>0.4</v>
      </c>
      <c r="K164" s="474">
        <f t="shared" si="123"/>
        <v>7729.7925737889636</v>
      </c>
      <c r="L164" s="474">
        <f t="shared" si="99"/>
        <v>0</v>
      </c>
      <c r="M164" s="475">
        <f t="shared" si="124"/>
        <v>7729.7925737889636</v>
      </c>
      <c r="N164" s="579">
        <f t="shared" si="130"/>
        <v>0.5</v>
      </c>
      <c r="O164" s="475">
        <f t="shared" si="100"/>
        <v>751.91700000000026</v>
      </c>
      <c r="P164" s="1043">
        <f t="shared" si="127"/>
        <v>8481.7095737889631</v>
      </c>
      <c r="Q164" s="467">
        <f t="shared" si="101"/>
        <v>66685.36865123907</v>
      </c>
      <c r="R164" s="467">
        <f t="shared" si="125"/>
        <v>52997.426981715995</v>
      </c>
      <c r="S164" s="1255">
        <f t="shared" si="102"/>
        <v>1.000287795561513</v>
      </c>
      <c r="T164" s="118" t="str">
        <f t="shared" si="103"/>
        <v>No</v>
      </c>
      <c r="U164" s="1255">
        <f t="shared" si="104"/>
        <v>1</v>
      </c>
      <c r="V164" s="1268">
        <f t="shared" si="96"/>
        <v>63501.345465147315</v>
      </c>
      <c r="W164" s="1269">
        <f t="shared" si="97"/>
        <v>0.45484697697563492</v>
      </c>
      <c r="X164" s="473">
        <f t="shared" si="105"/>
        <v>13703.189705462959</v>
      </c>
      <c r="Y164" s="474">
        <f t="shared" si="106"/>
        <v>16634.367319258348</v>
      </c>
      <c r="Z164" s="474">
        <f t="shared" si="107"/>
        <v>4983.6817890261063</v>
      </c>
      <c r="AA164" s="474">
        <f t="shared" si="108"/>
        <v>0</v>
      </c>
      <c r="AB164" s="474">
        <f t="shared" si="109"/>
        <v>28180.106651399903</v>
      </c>
      <c r="AC164" s="474">
        <f t="shared" si="110"/>
        <v>63501.345465147315</v>
      </c>
      <c r="AD164" s="1240">
        <f t="shared" si="111"/>
        <v>15.248035939879628</v>
      </c>
      <c r="AE164" s="100">
        <f t="shared" si="112"/>
        <v>0.21579369074918181</v>
      </c>
      <c r="AF164" s="100">
        <f t="shared" si="113"/>
        <v>0.26195299008881812</v>
      </c>
      <c r="AG164" s="100">
        <f t="shared" si="114"/>
        <v>7.8481514880049244E-2</v>
      </c>
      <c r="AH164" s="100">
        <f t="shared" si="126"/>
        <v>0</v>
      </c>
      <c r="AI164" s="100">
        <f t="shared" si="115"/>
        <v>0.4437718042819509</v>
      </c>
      <c r="AJ164" s="471">
        <f t="shared" si="116"/>
        <v>1</v>
      </c>
      <c r="AK164" s="1250">
        <f t="shared" si="117"/>
        <v>13703.189705462959</v>
      </c>
      <c r="AL164" s="1251">
        <f t="shared" si="118"/>
        <v>0</v>
      </c>
      <c r="AM164" s="1251">
        <f t="shared" si="119"/>
        <v>0</v>
      </c>
      <c r="AN164" s="1251">
        <f t="shared" si="120"/>
        <v>13703.189705462959</v>
      </c>
      <c r="AO164" s="1022">
        <f t="shared" si="121"/>
        <v>0</v>
      </c>
      <c r="AV164" s="119"/>
      <c r="AW164" s="119"/>
    </row>
    <row r="165" spans="1:49">
      <c r="A165" s="89">
        <f>'Input data'!A145</f>
        <v>2045</v>
      </c>
      <c r="B165" s="152">
        <f>'Input data'!B145</f>
        <v>73.619545999999971</v>
      </c>
      <c r="C165" s="204">
        <f>'Input data'!C145</f>
        <v>7997.9247065980107</v>
      </c>
      <c r="D165" s="475">
        <f>'Input data'!D145</f>
        <v>20219203.672592338</v>
      </c>
      <c r="E165" s="473">
        <f>'Input data'!J145*C165</f>
        <v>96223.397064897435</v>
      </c>
      <c r="F165" s="474">
        <f>'Input data'!L145</f>
        <v>116442.60073748977</v>
      </c>
      <c r="G165" s="474">
        <f t="shared" si="132"/>
        <v>13687.941669523079</v>
      </c>
      <c r="H165" s="474">
        <f t="shared" si="95"/>
        <v>60500.486062182972</v>
      </c>
      <c r="I165" s="475">
        <f t="shared" si="98"/>
        <v>20219.203672592339</v>
      </c>
      <c r="J165" s="579">
        <f t="shared" si="131"/>
        <v>0.4</v>
      </c>
      <c r="K165" s="474">
        <f t="shared" si="123"/>
        <v>6843.2352067937991</v>
      </c>
      <c r="L165" s="474">
        <f t="shared" si="99"/>
        <v>0</v>
      </c>
      <c r="M165" s="475">
        <f t="shared" si="124"/>
        <v>6843.2352067937991</v>
      </c>
      <c r="N165" s="579">
        <f t="shared" si="130"/>
        <v>0.5</v>
      </c>
      <c r="O165" s="475">
        <f t="shared" si="100"/>
        <v>751.91700000000026</v>
      </c>
      <c r="P165" s="1043">
        <f t="shared" si="127"/>
        <v>7595.1522067937995</v>
      </c>
      <c r="Q165" s="467">
        <f t="shared" si="101"/>
        <v>66593.275524912242</v>
      </c>
      <c r="R165" s="467">
        <f t="shared" si="125"/>
        <v>52905.333855389166</v>
      </c>
      <c r="S165" s="1255">
        <f t="shared" si="102"/>
        <v>0.97142178921813505</v>
      </c>
      <c r="T165" s="118" t="str">
        <f t="shared" si="103"/>
        <v>Yes</v>
      </c>
      <c r="U165" s="1255">
        <f t="shared" si="104"/>
        <v>0.97142178921813505</v>
      </c>
      <c r="V165" s="1268">
        <f t="shared" si="96"/>
        <v>63537.266882100608</v>
      </c>
      <c r="W165" s="1269">
        <f t="shared" si="97"/>
        <v>0.45434689297828268</v>
      </c>
      <c r="X165" s="473">
        <f t="shared" si="105"/>
        <v>13687.941669523074</v>
      </c>
      <c r="Y165" s="474">
        <f t="shared" si="106"/>
        <v>15793.072246531434</v>
      </c>
      <c r="Z165" s="474">
        <f t="shared" si="107"/>
        <v>5100.203908457429</v>
      </c>
      <c r="AA165" s="474">
        <f t="shared" si="108"/>
        <v>0</v>
      </c>
      <c r="AB165" s="474">
        <f t="shared" si="109"/>
        <v>28956.049057588672</v>
      </c>
      <c r="AC165" s="474">
        <f t="shared" si="110"/>
        <v>63537.266882100608</v>
      </c>
      <c r="AD165" s="1240">
        <f t="shared" si="111"/>
        <v>0</v>
      </c>
      <c r="AE165" s="100">
        <f t="shared" si="112"/>
        <v>0.2154317039623744</v>
      </c>
      <c r="AF165" s="100">
        <f t="shared" si="113"/>
        <v>0.24856392195523563</v>
      </c>
      <c r="AG165" s="100">
        <f t="shared" si="114"/>
        <v>8.0271062303031354E-2</v>
      </c>
      <c r="AH165" s="100">
        <f t="shared" si="126"/>
        <v>0</v>
      </c>
      <c r="AI165" s="100">
        <f t="shared" si="115"/>
        <v>0.45573331177935861</v>
      </c>
      <c r="AJ165" s="471">
        <f t="shared" si="116"/>
        <v>1</v>
      </c>
      <c r="AK165" s="1250">
        <f t="shared" si="117"/>
        <v>12131.522203555402</v>
      </c>
      <c r="AL165" s="1251">
        <f t="shared" si="118"/>
        <v>1467.6514144835435</v>
      </c>
      <c r="AM165" s="1251">
        <f t="shared" si="119"/>
        <v>88.76805148412582</v>
      </c>
      <c r="AN165" s="1251">
        <f t="shared" si="120"/>
        <v>13687.94166952307</v>
      </c>
      <c r="AO165" s="1022">
        <f t="shared" si="121"/>
        <v>0</v>
      </c>
      <c r="AV165" s="119"/>
      <c r="AW165" s="119"/>
    </row>
    <row r="166" spans="1:49">
      <c r="A166" s="89">
        <f>'Input data'!A146</f>
        <v>2046</v>
      </c>
      <c r="B166" s="152">
        <f>'Input data'!B146</f>
        <v>73.995362001779526</v>
      </c>
      <c r="C166" s="204">
        <f>'Input data'!C146</f>
        <v>8212.8506709212088</v>
      </c>
      <c r="D166" s="475">
        <f>'Input data'!D146</f>
        <v>16217597.669678843</v>
      </c>
      <c r="E166" s="473">
        <f>'Input data'!J146*C166</f>
        <v>98809.181148056668</v>
      </c>
      <c r="F166" s="474">
        <f>'Input data'!L146</f>
        <v>115026.77881773551</v>
      </c>
      <c r="G166" s="474">
        <f t="shared" si="132"/>
        <v>13687.941669523079</v>
      </c>
      <c r="H166" s="474">
        <f t="shared" si="95"/>
        <v>58228.911176523427</v>
      </c>
      <c r="I166" s="475">
        <f t="shared" si="98"/>
        <v>16217.597669678842</v>
      </c>
      <c r="J166" s="579">
        <f t="shared" si="131"/>
        <v>0.4</v>
      </c>
      <c r="K166" s="474">
        <f t="shared" si="123"/>
        <v>5488.8826058565683</v>
      </c>
      <c r="L166" s="474">
        <f t="shared" si="99"/>
        <v>0</v>
      </c>
      <c r="M166" s="475">
        <f t="shared" si="124"/>
        <v>5488.8826058565683</v>
      </c>
      <c r="N166" s="579">
        <f t="shared" si="130"/>
        <v>0.5</v>
      </c>
      <c r="O166" s="475">
        <f t="shared" si="100"/>
        <v>751.91700000000026</v>
      </c>
      <c r="P166" s="1043">
        <f t="shared" si="127"/>
        <v>6240.7996058565686</v>
      </c>
      <c r="Q166" s="467">
        <f t="shared" si="101"/>
        <v>65676.05324018994</v>
      </c>
      <c r="R166" s="467">
        <f t="shared" si="125"/>
        <v>51988.111570666864</v>
      </c>
      <c r="S166" s="1255">
        <f t="shared" si="102"/>
        <v>0.92926359676868919</v>
      </c>
      <c r="T166" s="118" t="str">
        <f t="shared" si="103"/>
        <v>Yes</v>
      </c>
      <c r="U166" s="1255">
        <f t="shared" si="104"/>
        <v>0.92926359676868919</v>
      </c>
      <c r="V166" s="1268">
        <f t="shared" si="96"/>
        <v>63038.667247068661</v>
      </c>
      <c r="W166" s="1269">
        <f t="shared" si="97"/>
        <v>0.45196529108273187</v>
      </c>
      <c r="X166" s="473">
        <f t="shared" si="105"/>
        <v>13687.941669523076</v>
      </c>
      <c r="Y166" s="474">
        <f t="shared" si="106"/>
        <v>14399.494628305772</v>
      </c>
      <c r="Z166" s="474">
        <f t="shared" si="107"/>
        <v>5217.0541904040911</v>
      </c>
      <c r="AA166" s="474">
        <f t="shared" si="108"/>
        <v>0</v>
      </c>
      <c r="AB166" s="474">
        <f t="shared" si="109"/>
        <v>29734.176758835722</v>
      </c>
      <c r="AC166" s="474">
        <f t="shared" si="110"/>
        <v>63038.667247068661</v>
      </c>
      <c r="AD166" s="1240">
        <f t="shared" si="111"/>
        <v>0</v>
      </c>
      <c r="AE166" s="100">
        <f t="shared" si="112"/>
        <v>0.21713564495067231</v>
      </c>
      <c r="AF166" s="100">
        <f t="shared" si="113"/>
        <v>0.2284232084391879</v>
      </c>
      <c r="AG166" s="100">
        <f t="shared" si="114"/>
        <v>8.2759588967145997E-2</v>
      </c>
      <c r="AH166" s="100">
        <f t="shared" si="126"/>
        <v>0</v>
      </c>
      <c r="AI166" s="100">
        <f t="shared" si="115"/>
        <v>0.4716815576429938</v>
      </c>
      <c r="AJ166" s="471">
        <f t="shared" si="116"/>
        <v>1</v>
      </c>
      <c r="AK166" s="1250">
        <f t="shared" si="117"/>
        <v>9730.5586018073045</v>
      </c>
      <c r="AL166" s="1251">
        <f t="shared" si="118"/>
        <v>3730.3318704696585</v>
      </c>
      <c r="AM166" s="1251">
        <f t="shared" si="119"/>
        <v>227.05119724611177</v>
      </c>
      <c r="AN166" s="1251">
        <f t="shared" si="120"/>
        <v>13687.941669523074</v>
      </c>
      <c r="AO166" s="1022">
        <f t="shared" si="121"/>
        <v>0</v>
      </c>
      <c r="AV166" s="119"/>
      <c r="AW166" s="119"/>
    </row>
    <row r="167" spans="1:49">
      <c r="A167" s="89">
        <f>'Input data'!A147</f>
        <v>2047</v>
      </c>
      <c r="B167" s="152">
        <f>'Input data'!B147</f>
        <v>74.373096484110363</v>
      </c>
      <c r="C167" s="204">
        <f>'Input data'!C147</f>
        <v>8261.0803168727289</v>
      </c>
      <c r="D167" s="475">
        <f>'Input data'!D147</f>
        <v>12215991.666765345</v>
      </c>
      <c r="E167" s="473">
        <f>'Input data'!J147*C167</f>
        <v>99389.434219064453</v>
      </c>
      <c r="F167" s="474">
        <f>'Input data'!L147</f>
        <v>111605.4258858298</v>
      </c>
      <c r="G167" s="474">
        <f t="shared" si="132"/>
        <v>13687.941669523079</v>
      </c>
      <c r="H167" s="474">
        <f t="shared" si="95"/>
        <v>54806.548317233057</v>
      </c>
      <c r="I167" s="475">
        <f t="shared" si="98"/>
        <v>12215.991666765345</v>
      </c>
      <c r="J167" s="579">
        <f t="shared" si="131"/>
        <v>0.4</v>
      </c>
      <c r="K167" s="474">
        <f t="shared" si="123"/>
        <v>4134.5300049193374</v>
      </c>
      <c r="L167" s="474">
        <f t="shared" si="99"/>
        <v>0</v>
      </c>
      <c r="M167" s="475">
        <f t="shared" si="124"/>
        <v>4134.5300049193374</v>
      </c>
      <c r="N167" s="579">
        <f t="shared" si="130"/>
        <v>0.5</v>
      </c>
      <c r="O167" s="475">
        <f t="shared" si="100"/>
        <v>751.91700000000026</v>
      </c>
      <c r="P167" s="1043">
        <f t="shared" si="127"/>
        <v>4886.4470049193378</v>
      </c>
      <c r="Q167" s="467">
        <f t="shared" si="101"/>
        <v>63608.042981836792</v>
      </c>
      <c r="R167" s="467">
        <f t="shared" si="125"/>
        <v>49920.101312313709</v>
      </c>
      <c r="S167" s="1255">
        <f t="shared" si="102"/>
        <v>0.88701986466430904</v>
      </c>
      <c r="T167" s="118" t="str">
        <f t="shared" si="103"/>
        <v>Yes</v>
      </c>
      <c r="U167" s="1255">
        <f t="shared" si="104"/>
        <v>0.88701986466430904</v>
      </c>
      <c r="V167" s="1268">
        <f t="shared" si="96"/>
        <v>61685.324573516089</v>
      </c>
      <c r="W167" s="1269">
        <f t="shared" si="97"/>
        <v>0.44729098891106789</v>
      </c>
      <c r="X167" s="473">
        <f t="shared" si="105"/>
        <v>13687.941669523083</v>
      </c>
      <c r="Y167" s="474">
        <f t="shared" si="106"/>
        <v>12845.317814495815</v>
      </c>
      <c r="Z167" s="474">
        <f t="shared" si="107"/>
        <v>5243.2755347882812</v>
      </c>
      <c r="AA167" s="474">
        <f t="shared" si="108"/>
        <v>0</v>
      </c>
      <c r="AB167" s="474">
        <f t="shared" si="109"/>
        <v>29908.789554708914</v>
      </c>
      <c r="AC167" s="474">
        <f t="shared" si="110"/>
        <v>61685.324573516089</v>
      </c>
      <c r="AD167" s="1240">
        <f t="shared" si="111"/>
        <v>0</v>
      </c>
      <c r="AE167" s="100">
        <f t="shared" si="112"/>
        <v>0.22189948361558673</v>
      </c>
      <c r="AF167" s="100">
        <f t="shared" si="113"/>
        <v>0.20823944598340996</v>
      </c>
      <c r="AG167" s="100">
        <f t="shared" si="114"/>
        <v>8.500037198538829E-2</v>
      </c>
      <c r="AH167" s="100">
        <f t="shared" si="126"/>
        <v>0</v>
      </c>
      <c r="AI167" s="100">
        <f t="shared" si="115"/>
        <v>0.48486069841561508</v>
      </c>
      <c r="AJ167" s="471">
        <f t="shared" si="116"/>
        <v>1</v>
      </c>
      <c r="AK167" s="1250">
        <f t="shared" si="117"/>
        <v>7329.5950000592056</v>
      </c>
      <c r="AL167" s="1251">
        <f t="shared" si="118"/>
        <v>5993.0721508985935</v>
      </c>
      <c r="AM167" s="1251">
        <f t="shared" si="119"/>
        <v>365.27451856528114</v>
      </c>
      <c r="AN167" s="1251">
        <f t="shared" si="120"/>
        <v>13687.941669523079</v>
      </c>
      <c r="AO167" s="1022">
        <f t="shared" si="121"/>
        <v>0</v>
      </c>
      <c r="AV167" s="119"/>
      <c r="AW167" s="119"/>
    </row>
    <row r="168" spans="1:49">
      <c r="A168" s="89">
        <f>'Input data'!A148</f>
        <v>2048</v>
      </c>
      <c r="B168" s="152">
        <f>'Input data'!B148</f>
        <v>74.752759240528661</v>
      </c>
      <c r="C168" s="204">
        <f>'Input data'!C148</f>
        <v>8289.8997424694644</v>
      </c>
      <c r="D168" s="475">
        <f>'Input data'!D148</f>
        <v>8214385.6638518488</v>
      </c>
      <c r="E168" s="473">
        <f>'Input data'!J148*C168</f>
        <v>99736.162043357326</v>
      </c>
      <c r="F168" s="474">
        <f>'Input data'!L148</f>
        <v>107950.54770720917</v>
      </c>
      <c r="G168" s="474">
        <f t="shared" si="132"/>
        <v>13687.941669523079</v>
      </c>
      <c r="H168" s="474">
        <f t="shared" si="95"/>
        <v>51250.187008738765</v>
      </c>
      <c r="I168" s="475">
        <f t="shared" si="98"/>
        <v>8214.3856638518482</v>
      </c>
      <c r="J168" s="579">
        <f t="shared" si="131"/>
        <v>0.4</v>
      </c>
      <c r="K168" s="474">
        <f t="shared" si="123"/>
        <v>2780.1774039821057</v>
      </c>
      <c r="L168" s="474">
        <f t="shared" si="99"/>
        <v>0</v>
      </c>
      <c r="M168" s="475">
        <f t="shared" si="124"/>
        <v>2780.1774039821057</v>
      </c>
      <c r="N168" s="579">
        <f t="shared" si="130"/>
        <v>0.5</v>
      </c>
      <c r="O168" s="475">
        <f t="shared" si="100"/>
        <v>751.91700000000026</v>
      </c>
      <c r="P168" s="1043">
        <f t="shared" si="127"/>
        <v>3532.0944039821061</v>
      </c>
      <c r="Q168" s="467">
        <f t="shared" si="101"/>
        <v>61406.034274279737</v>
      </c>
      <c r="R168" s="467">
        <f t="shared" si="125"/>
        <v>47718.092604756661</v>
      </c>
      <c r="S168" s="1255">
        <f t="shared" si="102"/>
        <v>0.84490593006819925</v>
      </c>
      <c r="T168" s="118" t="str">
        <f t="shared" si="103"/>
        <v>Yes</v>
      </c>
      <c r="U168" s="1255">
        <f t="shared" si="104"/>
        <v>0.84490593006819925</v>
      </c>
      <c r="V168" s="1268">
        <f t="shared" si="96"/>
        <v>60232.455102452528</v>
      </c>
      <c r="W168" s="1269">
        <f t="shared" si="97"/>
        <v>0.44203659562877717</v>
      </c>
      <c r="X168" s="473">
        <f t="shared" si="105"/>
        <v>13687.941669523072</v>
      </c>
      <c r="Y168" s="474">
        <f t="shared" si="106"/>
        <v>11272.440733004229</v>
      </c>
      <c r="Z168" s="474">
        <f t="shared" si="107"/>
        <v>5258.9439907476335</v>
      </c>
      <c r="AA168" s="474">
        <f t="shared" si="108"/>
        <v>0</v>
      </c>
      <c r="AB168" s="474">
        <f t="shared" si="109"/>
        <v>30013.128709177592</v>
      </c>
      <c r="AC168" s="474">
        <f t="shared" si="110"/>
        <v>60232.455102452528</v>
      </c>
      <c r="AD168" s="1240">
        <f t="shared" si="111"/>
        <v>0</v>
      </c>
      <c r="AE168" s="100">
        <f t="shared" si="112"/>
        <v>0.22725192998094693</v>
      </c>
      <c r="AF168" s="100">
        <f t="shared" si="113"/>
        <v>0.18714895007733531</v>
      </c>
      <c r="AG168" s="100">
        <f t="shared" si="114"/>
        <v>8.7310802486839048E-2</v>
      </c>
      <c r="AH168" s="100">
        <f t="shared" si="126"/>
        <v>0</v>
      </c>
      <c r="AI168" s="100">
        <f t="shared" si="115"/>
        <v>0.49828831745487867</v>
      </c>
      <c r="AJ168" s="471">
        <f t="shared" si="116"/>
        <v>1</v>
      </c>
      <c r="AK168" s="1250">
        <f t="shared" si="117"/>
        <v>4928.6313983111086</v>
      </c>
      <c r="AL168" s="1251">
        <f t="shared" si="118"/>
        <v>8255.7216539726433</v>
      </c>
      <c r="AM168" s="1251">
        <f t="shared" si="119"/>
        <v>503.58861723931761</v>
      </c>
      <c r="AN168" s="1251">
        <f t="shared" si="120"/>
        <v>13687.94166952307</v>
      </c>
      <c r="AO168" s="1022">
        <f t="shared" si="121"/>
        <v>0</v>
      </c>
      <c r="AV168" s="119"/>
      <c r="AW168" s="119"/>
    </row>
    <row r="169" spans="1:49">
      <c r="A169" s="89">
        <f>'Input data'!A149</f>
        <v>2049</v>
      </c>
      <c r="B169" s="152">
        <f>'Input data'!B149</f>
        <v>75.134360114565098</v>
      </c>
      <c r="C169" s="204">
        <f>'Input data'!C149</f>
        <v>8319.7266636271434</v>
      </c>
      <c r="D169" s="475">
        <f>'Input data'!D149</f>
        <v>4212779.6609383523</v>
      </c>
      <c r="E169" s="473">
        <f>'Input data'!J149*C169</f>
        <v>100095.01109271272</v>
      </c>
      <c r="F169" s="474">
        <f>'Input data'!L149</f>
        <v>104307.79075365108</v>
      </c>
      <c r="G169" s="474">
        <f t="shared" si="132"/>
        <v>13687.941669523079</v>
      </c>
      <c r="H169" s="474">
        <f t="shared" si="95"/>
        <v>47700.780945485312</v>
      </c>
      <c r="I169" s="475">
        <f t="shared" si="98"/>
        <v>4212.7796609383522</v>
      </c>
      <c r="J169" s="579">
        <f t="shared" si="131"/>
        <v>0.4</v>
      </c>
      <c r="K169" s="474">
        <f t="shared" si="123"/>
        <v>1425.8248030448744</v>
      </c>
      <c r="L169" s="474">
        <f t="shared" si="99"/>
        <v>0</v>
      </c>
      <c r="M169" s="475">
        <f t="shared" si="124"/>
        <v>1425.8248030448744</v>
      </c>
      <c r="N169" s="579">
        <f t="shared" si="130"/>
        <v>0.5</v>
      </c>
      <c r="O169" s="475">
        <f t="shared" si="100"/>
        <v>751.91700000000026</v>
      </c>
      <c r="P169" s="1043">
        <f t="shared" si="127"/>
        <v>2177.7418030448748</v>
      </c>
      <c r="Q169" s="467">
        <f t="shared" si="101"/>
        <v>59210.980811963513</v>
      </c>
      <c r="R169" s="467">
        <f t="shared" si="125"/>
        <v>45523.039142440437</v>
      </c>
      <c r="S169" s="1255">
        <f t="shared" si="102"/>
        <v>0.80311182816840843</v>
      </c>
      <c r="T169" s="118" t="str">
        <f t="shared" si="103"/>
        <v>Yes</v>
      </c>
      <c r="U169" s="1255">
        <f t="shared" si="104"/>
        <v>0.80311182816840843</v>
      </c>
      <c r="V169" s="1268">
        <f t="shared" si="96"/>
        <v>58784.751611210653</v>
      </c>
      <c r="W169" s="1269">
        <f t="shared" si="97"/>
        <v>0.43642990435828954</v>
      </c>
      <c r="X169" s="473">
        <f t="shared" si="105"/>
        <v>13687.941669523076</v>
      </c>
      <c r="Y169" s="474">
        <f t="shared" si="106"/>
        <v>9700.5342966847911</v>
      </c>
      <c r="Z169" s="474">
        <f t="shared" si="107"/>
        <v>5275.1601987700142</v>
      </c>
      <c r="AA169" s="474">
        <f t="shared" si="108"/>
        <v>0</v>
      </c>
      <c r="AB169" s="474">
        <f t="shared" si="109"/>
        <v>30121.11544623278</v>
      </c>
      <c r="AC169" s="474">
        <f t="shared" si="110"/>
        <v>58784.751611210653</v>
      </c>
      <c r="AD169" s="1240">
        <f t="shared" si="111"/>
        <v>0</v>
      </c>
      <c r="AE169" s="100">
        <f t="shared" si="112"/>
        <v>0.2328485073825283</v>
      </c>
      <c r="AF169" s="100">
        <f t="shared" si="113"/>
        <v>0.16501786655223075</v>
      </c>
      <c r="AG169" s="100">
        <f t="shared" si="114"/>
        <v>8.9736879959258095E-2</v>
      </c>
      <c r="AH169" s="100">
        <f t="shared" si="126"/>
        <v>0</v>
      </c>
      <c r="AI169" s="100">
        <f t="shared" si="115"/>
        <v>0.51239674610598296</v>
      </c>
      <c r="AJ169" s="471">
        <f t="shared" si="116"/>
        <v>1</v>
      </c>
      <c r="AK169" s="1250">
        <f t="shared" si="117"/>
        <v>2527.6677965630115</v>
      </c>
      <c r="AL169" s="1251">
        <f t="shared" si="118"/>
        <v>10518.147473506404</v>
      </c>
      <c r="AM169" s="1251">
        <f t="shared" si="119"/>
        <v>642.12639945365675</v>
      </c>
      <c r="AN169" s="1251">
        <f t="shared" si="120"/>
        <v>13687.941669523072</v>
      </c>
      <c r="AO169" s="1022">
        <f t="shared" si="121"/>
        <v>0</v>
      </c>
      <c r="AV169" s="119"/>
      <c r="AW169" s="119"/>
    </row>
    <row r="170" spans="1:49" ht="15" thickBot="1">
      <c r="A170" s="141">
        <f>'Input data'!A150</f>
        <v>2050</v>
      </c>
      <c r="B170" s="593">
        <f>'Input data'!B150</f>
        <v>75.517908999999989</v>
      </c>
      <c r="C170" s="207">
        <f>'Input data'!C150</f>
        <v>8341.54221182129</v>
      </c>
      <c r="D170" s="589">
        <f>'Input data'!D150</f>
        <v>211173.65802485455</v>
      </c>
      <c r="E170" s="598">
        <f>'Input data'!J150*C170</f>
        <v>100357.47494841044</v>
      </c>
      <c r="F170" s="595">
        <f>'Input data'!L150</f>
        <v>100568.64860643529</v>
      </c>
      <c r="G170" s="595">
        <f t="shared" si="132"/>
        <v>13687.941669523079</v>
      </c>
      <c r="H170" s="595">
        <f t="shared" si="95"/>
        <v>44096.068371873596</v>
      </c>
      <c r="I170" s="589">
        <f t="shared" si="98"/>
        <v>211.17365802485455</v>
      </c>
      <c r="J170" s="580">
        <f t="shared" si="131"/>
        <v>0.4</v>
      </c>
      <c r="K170" s="595">
        <f t="shared" si="123"/>
        <v>71.472202107643056</v>
      </c>
      <c r="L170" s="595">
        <f t="shared" si="99"/>
        <v>0</v>
      </c>
      <c r="M170" s="589">
        <f t="shared" si="124"/>
        <v>71.472202107643056</v>
      </c>
      <c r="N170" s="580">
        <f t="shared" si="130"/>
        <v>0.5</v>
      </c>
      <c r="O170" s="589">
        <f t="shared" si="100"/>
        <v>751.91700000000026</v>
      </c>
      <c r="P170" s="1390">
        <f t="shared" si="127"/>
        <v>823.38920210764331</v>
      </c>
      <c r="Q170" s="1238">
        <f t="shared" si="101"/>
        <v>56960.620839289033</v>
      </c>
      <c r="R170" s="1238">
        <f t="shared" si="125"/>
        <v>43272.67916976595</v>
      </c>
      <c r="S170" s="1256">
        <f t="shared" si="102"/>
        <v>0.76138829988542223</v>
      </c>
      <c r="T170" s="951" t="str">
        <f t="shared" si="103"/>
        <v>Yes</v>
      </c>
      <c r="U170" s="1256">
        <f t="shared" si="104"/>
        <v>0.76138829988542223</v>
      </c>
      <c r="V170" s="1270">
        <f t="shared" si="96"/>
        <v>57295.969436669358</v>
      </c>
      <c r="W170" s="1271">
        <f t="shared" si="97"/>
        <v>0.43028001041466668</v>
      </c>
      <c r="X170" s="598">
        <f t="shared" si="105"/>
        <v>13687.941669523081</v>
      </c>
      <c r="Y170" s="595">
        <f t="shared" si="106"/>
        <v>8120.9095132174525</v>
      </c>
      <c r="Z170" s="595">
        <f t="shared" si="107"/>
        <v>5287.0208083773005</v>
      </c>
      <c r="AA170" s="595">
        <f t="shared" si="108"/>
        <v>0</v>
      </c>
      <c r="AB170" s="595">
        <f t="shared" si="109"/>
        <v>30200.097445551524</v>
      </c>
      <c r="AC170" s="595">
        <f t="shared" si="110"/>
        <v>57295.969436669358</v>
      </c>
      <c r="AD170" s="1241">
        <f t="shared" si="111"/>
        <v>0</v>
      </c>
      <c r="AE170" s="581">
        <f t="shared" si="112"/>
        <v>0.23889885805410271</v>
      </c>
      <c r="AF170" s="581">
        <f t="shared" si="113"/>
        <v>0.14173613943636459</v>
      </c>
      <c r="AG170" s="581">
        <f t="shared" si="114"/>
        <v>9.2275614853173468E-2</v>
      </c>
      <c r="AH170" s="581">
        <f t="shared" si="126"/>
        <v>0</v>
      </c>
      <c r="AI170" s="581">
        <f>AB170/AC170</f>
        <v>0.52708938765635915</v>
      </c>
      <c r="AJ170" s="582">
        <f t="shared" si="116"/>
        <v>1</v>
      </c>
      <c r="AK170" s="1252">
        <f t="shared" si="117"/>
        <v>126.70419481491274</v>
      </c>
      <c r="AL170" s="1253">
        <f t="shared" si="118"/>
        <v>12780.523935495927</v>
      </c>
      <c r="AM170" s="1253">
        <f t="shared" si="119"/>
        <v>780.71353921223874</v>
      </c>
      <c r="AN170" s="1253">
        <f t="shared" si="120"/>
        <v>13687.941669523078</v>
      </c>
      <c r="AO170" s="1023">
        <f t="shared" si="121"/>
        <v>0</v>
      </c>
      <c r="AV170" s="119"/>
      <c r="AW170" s="119"/>
    </row>
    <row r="171" spans="1:49">
      <c r="F171" s="301"/>
      <c r="G171" s="301"/>
      <c r="T171" s="489"/>
    </row>
    <row r="172" spans="1:49" ht="23.4">
      <c r="A172" s="610" t="s">
        <v>664</v>
      </c>
    </row>
    <row r="173" spans="1:49" ht="24" thickBot="1">
      <c r="A173" s="610"/>
    </row>
    <row r="174" spans="1:49"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9" ht="37.950000000000003"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475">
        <f>'Input data'!E119</f>
        <v>53169997.747000799</v>
      </c>
      <c r="E179" s="473">
        <f>'Input data'!J119*C179</f>
        <v>53378.943448604135</v>
      </c>
      <c r="F179" s="474">
        <f>'Input data'!L119</f>
        <v>106548.94119560494</v>
      </c>
      <c r="G179" s="474">
        <f>G177*0.89</f>
        <v>60911.340429377713</v>
      </c>
      <c r="H179" s="474">
        <f t="shared" ref="H179:H210" si="160">E179*$B$12+I179*$E$80-G179</f>
        <v>19615.381990165086</v>
      </c>
      <c r="I179" s="475">
        <f t="shared" si="136"/>
        <v>53169.997747000802</v>
      </c>
      <c r="J179" s="579">
        <f t="shared" ref="J179:J189" si="161">($J$190-$J$177)/($A$190-$A$177)+J178</f>
        <v>0.11361731727283289</v>
      </c>
      <c r="K179" s="474">
        <f t="shared" ref="K179:K210" si="162">(I179)*J179-(I179)*$J$137</f>
        <v>2768.5393809788216</v>
      </c>
      <c r="L179" s="474">
        <f t="shared" si="137"/>
        <v>0</v>
      </c>
      <c r="M179" s="475">
        <f t="shared" ref="M179:M210" si="163">L179+K179</f>
        <v>2768.5393809788216</v>
      </c>
      <c r="N179" s="579">
        <v>0.1</v>
      </c>
      <c r="O179" s="475">
        <f t="shared" si="138"/>
        <v>150.38340000000005</v>
      </c>
      <c r="P179" s="1043">
        <f>O179+M179</f>
        <v>2918.9227809788217</v>
      </c>
      <c r="Q179" s="467">
        <f t="shared" si="139"/>
        <v>77607.799638563971</v>
      </c>
      <c r="R179" s="467">
        <f t="shared" ref="R179:R210" si="164">Q179-G179</f>
        <v>16696.459209186258</v>
      </c>
      <c r="S179" s="518">
        <f t="shared" si="140"/>
        <v>0.54780504374984418</v>
      </c>
      <c r="T179" s="118" t="str">
        <f t="shared" si="141"/>
        <v>Yes</v>
      </c>
      <c r="U179" s="1259">
        <f t="shared" si="142"/>
        <v>0.54780504374984418</v>
      </c>
      <c r="V179" s="1247">
        <f t="shared" si="134"/>
        <v>89852.481986418687</v>
      </c>
      <c r="W179" s="1260">
        <f t="shared" si="135"/>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4197.6296598339768</v>
      </c>
      <c r="D180" s="475">
        <f>'Input data'!E120</f>
        <v>50963260.465782054</v>
      </c>
      <c r="E180" s="473">
        <f>'Input data'!J120*C180</f>
        <v>50501.873961927049</v>
      </c>
      <c r="F180" s="474">
        <f>'Input data'!L120</f>
        <v>101465.1344277091</v>
      </c>
      <c r="G180" s="474">
        <f>G177*0.81</f>
        <v>55436.163761568481</v>
      </c>
      <c r="H180" s="474">
        <f t="shared" si="160"/>
        <v>21368.758110647708</v>
      </c>
      <c r="I180" s="475">
        <f t="shared" si="136"/>
        <v>50963.260465782056</v>
      </c>
      <c r="J180" s="579">
        <f t="shared" si="161"/>
        <v>0.13965210661166627</v>
      </c>
      <c r="K180" s="474">
        <f>(I180)*J180-(I180)*$J$177</f>
        <v>3980.4532507401927</v>
      </c>
      <c r="L180" s="474">
        <f t="shared" si="137"/>
        <v>0</v>
      </c>
      <c r="M180" s="475">
        <f t="shared" si="163"/>
        <v>3980.4532507401927</v>
      </c>
      <c r="N180" s="579">
        <f>($N$142-$N$137)/($A$102-$A$97)+N179</f>
        <v>0.2</v>
      </c>
      <c r="O180" s="475">
        <f t="shared" si="138"/>
        <v>300.7668000000001</v>
      </c>
      <c r="P180" s="1043">
        <f t="shared" ref="P180:P210" si="166">O180+M180</f>
        <v>4281.2200507401931</v>
      </c>
      <c r="Q180" s="467">
        <f t="shared" si="139"/>
        <v>72523.701821476003</v>
      </c>
      <c r="R180" s="467">
        <f t="shared" si="164"/>
        <v>17087.538059907522</v>
      </c>
      <c r="S180" s="518">
        <f>R180/(Q180-I180*(1-J180))</f>
        <v>0.59585031883972595</v>
      </c>
      <c r="T180" s="118" t="str">
        <f t="shared" si="141"/>
        <v>Yes</v>
      </c>
      <c r="U180" s="1259">
        <f>IF(S180&lt;=0,0,IF(S180&gt;=1,1,S180))</f>
        <v>0.59585031883972595</v>
      </c>
      <c r="V180" s="1247">
        <f>AC180</f>
        <v>84377.596367801583</v>
      </c>
      <c r="W180" s="1260">
        <f t="shared" si="135"/>
        <v>0.1684079773439997</v>
      </c>
      <c r="X180" s="473">
        <f>(E180*$B$12-O180-L180)*(1-U180)+I180*(1-J180)</f>
        <v>55436.163761568474</v>
      </c>
      <c r="Y180" s="474">
        <f t="shared" si="144"/>
        <v>11161.222878141903</v>
      </c>
      <c r="Z180" s="116">
        <f t="shared" si="145"/>
        <v>2582.9210795159115</v>
      </c>
      <c r="AA180" s="116">
        <f t="shared" si="146"/>
        <v>0</v>
      </c>
      <c r="AB180" s="116">
        <f>E180*$E$12</f>
        <v>15197.288648575301</v>
      </c>
      <c r="AC180" s="116">
        <f>SUM(X180:AB180)</f>
        <v>84377.596367801583</v>
      </c>
      <c r="AD180" s="1240">
        <f t="shared" si="149"/>
        <v>0</v>
      </c>
      <c r="AE180" s="579">
        <f t="shared" si="150"/>
        <v>0.65700098305624244</v>
      </c>
      <c r="AF180" s="100">
        <f t="shared" si="151"/>
        <v>0.13227708963751683</v>
      </c>
      <c r="AG180" s="100">
        <f t="shared" si="152"/>
        <v>3.0611456010870109E-2</v>
      </c>
      <c r="AH180" s="100">
        <f t="shared" si="165"/>
        <v>0</v>
      </c>
      <c r="AI180" s="100">
        <f t="shared" si="153"/>
        <v>0.18011047129537069</v>
      </c>
      <c r="AJ180" s="100">
        <f t="shared" si="154"/>
        <v>1</v>
      </c>
      <c r="AK180" s="1250">
        <f t="shared" si="155"/>
        <v>43846.133781936544</v>
      </c>
      <c r="AL180" s="1251">
        <f t="shared" si="156"/>
        <v>10893.236471236294</v>
      </c>
      <c r="AM180" s="1251">
        <f t="shared" si="157"/>
        <v>696.79350839563915</v>
      </c>
      <c r="AN180" s="1251">
        <f t="shared" si="158"/>
        <v>55436.163761568474</v>
      </c>
      <c r="AO180" s="1022">
        <f t="shared" si="159"/>
        <v>0</v>
      </c>
    </row>
    <row r="181" spans="1:41">
      <c r="A181" s="89">
        <f>'Input data'!A121</f>
        <v>2021</v>
      </c>
      <c r="B181" s="152">
        <f>'Input data'!B121</f>
        <v>59.991580449204264</v>
      </c>
      <c r="C181" s="204">
        <f>'Input data'!C121</f>
        <v>4326.0661578199733</v>
      </c>
      <c r="D181" s="475">
        <f>'Input data'!E121</f>
        <v>50546075.397081107</v>
      </c>
      <c r="E181" s="473">
        <f>'Input data'!J121*C181</f>
        <v>52047.099329344681</v>
      </c>
      <c r="F181" s="474">
        <f>'Input data'!L121</f>
        <v>102593.17472642579</v>
      </c>
      <c r="G181" s="474">
        <f>G177*0.65</f>
        <v>44485.810425950018</v>
      </c>
      <c r="H181" s="474">
        <f t="shared" si="160"/>
        <v>32814.264492545721</v>
      </c>
      <c r="I181" s="475">
        <f t="shared" si="136"/>
        <v>50546.075397081106</v>
      </c>
      <c r="J181" s="579">
        <f t="shared" si="161"/>
        <v>0.16568689595049965</v>
      </c>
      <c r="K181" s="474">
        <f t="shared" si="162"/>
        <v>5263.8256994711801</v>
      </c>
      <c r="L181" s="474">
        <f t="shared" si="137"/>
        <v>0</v>
      </c>
      <c r="M181" s="475">
        <f t="shared" si="163"/>
        <v>5263.8256994711801</v>
      </c>
      <c r="N181" s="579">
        <v>0.4</v>
      </c>
      <c r="O181" s="475">
        <f t="shared" si="138"/>
        <v>601.53360000000021</v>
      </c>
      <c r="P181" s="1043">
        <f t="shared" si="166"/>
        <v>5865.3592994711798</v>
      </c>
      <c r="Q181" s="467">
        <f t="shared" si="139"/>
        <v>71434.715619024559</v>
      </c>
      <c r="R181" s="467">
        <f t="shared" si="164"/>
        <v>26948.905193074541</v>
      </c>
      <c r="S181" s="518">
        <f t="shared" si="140"/>
        <v>0.92090623727846399</v>
      </c>
      <c r="T181" s="118" t="str">
        <f t="shared" si="141"/>
        <v>Yes</v>
      </c>
      <c r="U181" s="1259">
        <f t="shared" si="142"/>
        <v>0.92090623727846399</v>
      </c>
      <c r="V181" s="1247">
        <f t="shared" si="134"/>
        <v>75644.269533351253</v>
      </c>
      <c r="W181" s="1260">
        <f t="shared" si="135"/>
        <v>0.2626773687912114</v>
      </c>
      <c r="X181" s="473">
        <f t="shared" si="143"/>
        <v>44485.810425950018</v>
      </c>
      <c r="Y181" s="474">
        <f t="shared" si="144"/>
        <v>12542.657304486011</v>
      </c>
      <c r="Z181" s="116">
        <f t="shared" si="145"/>
        <v>2953.515836548303</v>
      </c>
      <c r="AA181" s="116">
        <f t="shared" si="146"/>
        <v>0</v>
      </c>
      <c r="AB181" s="116">
        <f t="shared" si="147"/>
        <v>15662.285966366921</v>
      </c>
      <c r="AC181" s="116">
        <f t="shared" si="148"/>
        <v>75644.269533351253</v>
      </c>
      <c r="AD181" s="475">
        <f t="shared" si="149"/>
        <v>0</v>
      </c>
      <c r="AE181" s="579">
        <f t="shared" si="150"/>
        <v>0.58809227322019952</v>
      </c>
      <c r="AF181" s="100">
        <f t="shared" si="151"/>
        <v>0.16581107044673099</v>
      </c>
      <c r="AG181" s="100">
        <f t="shared" si="152"/>
        <v>3.9044806100561387E-2</v>
      </c>
      <c r="AH181" s="100">
        <f t="shared" si="165"/>
        <v>0</v>
      </c>
      <c r="AI181" s="100">
        <f t="shared" si="153"/>
        <v>0.20705185023250813</v>
      </c>
      <c r="AJ181" s="100">
        <f t="shared" si="154"/>
        <v>1</v>
      </c>
      <c r="AK181" s="1250">
        <f t="shared" si="155"/>
        <v>42171.253062058822</v>
      </c>
      <c r="AL181" s="1251">
        <f t="shared" si="156"/>
        <v>2197.080474396314</v>
      </c>
      <c r="AM181" s="1251">
        <f t="shared" si="157"/>
        <v>117.47688949488752</v>
      </c>
      <c r="AN181" s="1251">
        <f t="shared" si="158"/>
        <v>44485.810425950025</v>
      </c>
      <c r="AO181" s="1022">
        <f t="shared" si="159"/>
        <v>0</v>
      </c>
    </row>
    <row r="182" spans="1:41">
      <c r="A182" s="89">
        <f>'Input data'!A122</f>
        <v>2022</v>
      </c>
      <c r="B182" s="152">
        <f>'Input data'!B122</f>
        <v>60.682333816399378</v>
      </c>
      <c r="C182" s="204">
        <f>'Input data'!C122</f>
        <v>4414.4786843532656</v>
      </c>
      <c r="D182" s="475">
        <f>'Input data'!E122</f>
        <v>50359792.84713313</v>
      </c>
      <c r="E182" s="473">
        <f>'Input data'!J122*C182</f>
        <v>53110.794470048553</v>
      </c>
      <c r="F182" s="474">
        <f>'Input data'!L122</f>
        <v>103470.58731718169</v>
      </c>
      <c r="G182" s="474">
        <f>G177*(1-E4)</f>
        <v>34219.854173807704</v>
      </c>
      <c r="H182" s="474">
        <f t="shared" si="160"/>
        <v>43515.759309397268</v>
      </c>
      <c r="I182" s="475">
        <f t="shared" si="136"/>
        <v>50359.792847133132</v>
      </c>
      <c r="J182" s="579">
        <f t="shared" si="161"/>
        <v>0.19172168528933303</v>
      </c>
      <c r="K182" s="474">
        <f t="shared" si="162"/>
        <v>6555.5329896119956</v>
      </c>
      <c r="L182" s="474">
        <f t="shared" si="137"/>
        <v>0</v>
      </c>
      <c r="M182" s="475">
        <f t="shared" si="163"/>
        <v>6555.5329896119956</v>
      </c>
      <c r="N182" s="579">
        <f>$E$26</f>
        <v>0.5</v>
      </c>
      <c r="O182" s="475">
        <f t="shared" si="138"/>
        <v>751.91700000000026</v>
      </c>
      <c r="P182" s="1043">
        <f t="shared" si="166"/>
        <v>7307.449989611996</v>
      </c>
      <c r="Q182" s="467">
        <f t="shared" si="139"/>
        <v>70428.163493592976</v>
      </c>
      <c r="R182" s="467">
        <f t="shared" si="164"/>
        <v>36208.309319785272</v>
      </c>
      <c r="S182" s="518">
        <f t="shared" si="140"/>
        <v>1.2181737850093515</v>
      </c>
      <c r="T182" s="118" t="str">
        <f t="shared" si="141"/>
        <v>No</v>
      </c>
      <c r="U182" s="1259">
        <f t="shared" si="142"/>
        <v>1</v>
      </c>
      <c r="V182" s="1247">
        <f t="shared" si="134"/>
        <v>73747.152315247789</v>
      </c>
      <c r="W182" s="1260">
        <f>(1-V182/F182)</f>
        <v>0.28726458187406279</v>
      </c>
      <c r="X182" s="473">
        <f t="shared" si="143"/>
        <v>40704.728491659065</v>
      </c>
      <c r="Y182" s="474">
        <f t="shared" si="144"/>
        <v>13908.078054615326</v>
      </c>
      <c r="Z182" s="116">
        <f t="shared" si="145"/>
        <v>3151.9670848679066</v>
      </c>
      <c r="AA182" s="116">
        <f t="shared" si="146"/>
        <v>0</v>
      </c>
      <c r="AB182" s="116">
        <f t="shared" si="147"/>
        <v>15982.378684105484</v>
      </c>
      <c r="AC182" s="116">
        <f t="shared" si="148"/>
        <v>73747.152315247789</v>
      </c>
      <c r="AD182" s="475">
        <f t="shared" si="149"/>
        <v>6484.8743178513614</v>
      </c>
      <c r="AE182" s="579">
        <f t="shared" si="150"/>
        <v>0.55194983418014709</v>
      </c>
      <c r="AF182" s="100">
        <f t="shared" si="151"/>
        <v>0.18859139123314628</v>
      </c>
      <c r="AG182" s="100">
        <f t="shared" si="152"/>
        <v>4.2740187056907054E-2</v>
      </c>
      <c r="AH182" s="100">
        <f t="shared" si="165"/>
        <v>0</v>
      </c>
      <c r="AI182" s="100">
        <f t="shared" si="153"/>
        <v>0.2167185875297995</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4492.6346436826334</v>
      </c>
      <c r="D183" s="475">
        <f>'Input data'!E123</f>
        <v>48665382.683029473</v>
      </c>
      <c r="E183" s="473">
        <f>'Input data'!J123*C183</f>
        <v>54051.092382747534</v>
      </c>
      <c r="F183" s="474">
        <f>'Input data'!L123</f>
        <v>102716.47506577701</v>
      </c>
      <c r="G183" s="474">
        <f>($G$147-$G$142)/($A$147-$A$142)+G182</f>
        <v>32166.662923379241</v>
      </c>
      <c r="H183" s="474">
        <f t="shared" si="160"/>
        <v>44518.377146558159</v>
      </c>
      <c r="I183" s="475">
        <f t="shared" si="136"/>
        <v>48665.382683029471</v>
      </c>
      <c r="J183" s="579">
        <f t="shared" si="161"/>
        <v>0.21775647462816641</v>
      </c>
      <c r="K183" s="474">
        <f t="shared" si="162"/>
        <v>7601.957917478293</v>
      </c>
      <c r="L183" s="474">
        <f t="shared" si="137"/>
        <v>0</v>
      </c>
      <c r="M183" s="475">
        <f t="shared" si="163"/>
        <v>7601.957917478293</v>
      </c>
      <c r="N183" s="579">
        <f>($N$147-$N$142)/($A$107-$A$102)+N182</f>
        <v>0.5</v>
      </c>
      <c r="O183" s="475">
        <f t="shared" si="138"/>
        <v>751.91700000000026</v>
      </c>
      <c r="P183" s="1043">
        <f t="shared" si="166"/>
        <v>8353.8749174782934</v>
      </c>
      <c r="Q183" s="467">
        <f t="shared" si="139"/>
        <v>68331.165152459114</v>
      </c>
      <c r="R183" s="467">
        <f t="shared" si="164"/>
        <v>36164.502229079873</v>
      </c>
      <c r="S183" s="518">
        <f t="shared" si="140"/>
        <v>1.1950077846113711</v>
      </c>
      <c r="T183" s="118" t="str">
        <f t="shared" si="141"/>
        <v>No</v>
      </c>
      <c r="U183" s="1259">
        <f t="shared" si="142"/>
        <v>1</v>
      </c>
      <c r="V183" s="1247">
        <f t="shared" si="134"/>
        <v>72453.490426860255</v>
      </c>
      <c r="W183" s="1260">
        <f t="shared" si="135"/>
        <v>0.29462639386268963</v>
      </c>
      <c r="X183" s="473">
        <f t="shared" si="143"/>
        <v>38068.180513542356</v>
      </c>
      <c r="Y183" s="474">
        <f t="shared" si="144"/>
        <v>14925.513177657298</v>
      </c>
      <c r="Z183" s="116">
        <f t="shared" si="145"/>
        <v>3194.4586745285919</v>
      </c>
      <c r="AA183" s="116">
        <f t="shared" si="146"/>
        <v>0</v>
      </c>
      <c r="AB183" s="116">
        <f t="shared" si="147"/>
        <v>16265.338061132017</v>
      </c>
      <c r="AC183" s="116">
        <f t="shared" si="148"/>
        <v>72453.490426860255</v>
      </c>
      <c r="AD183" s="475">
        <f t="shared" si="149"/>
        <v>5901.5175901631155</v>
      </c>
      <c r="AE183" s="579">
        <f t="shared" si="150"/>
        <v>0.52541541186302276</v>
      </c>
      <c r="AF183" s="100">
        <f t="shared" si="151"/>
        <v>0.20600129945049619</v>
      </c>
      <c r="AG183" s="100">
        <f t="shared" si="152"/>
        <v>4.4089783055425158E-2</v>
      </c>
      <c r="AH183" s="100">
        <f t="shared" si="165"/>
        <v>0</v>
      </c>
      <c r="AI183" s="100">
        <f t="shared" si="153"/>
        <v>0.22449350563105602</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4579.7873251148294</v>
      </c>
      <c r="D184" s="475">
        <f>'Input data'!E124</f>
        <v>48951332.662830688</v>
      </c>
      <c r="E184" s="473">
        <f>'Input data'!J124*C184</f>
        <v>55099.630269557405</v>
      </c>
      <c r="F184" s="474">
        <f>'Input data'!L124</f>
        <v>104050.96293238809</v>
      </c>
      <c r="G184" s="474">
        <f t="shared" ref="G184:G186" si="167">($G$147-$G$142)/($A$147-$A$142)+G183</f>
        <v>30113.471672950778</v>
      </c>
      <c r="H184" s="474">
        <f t="shared" si="160"/>
        <v>47441.577306947831</v>
      </c>
      <c r="I184" s="475">
        <f t="shared" si="136"/>
        <v>48951.33266283069</v>
      </c>
      <c r="J184" s="579">
        <f t="shared" si="161"/>
        <v>0.24379126396699979</v>
      </c>
      <c r="K184" s="474">
        <f t="shared" si="162"/>
        <v>8921.0634361236534</v>
      </c>
      <c r="L184" s="474">
        <f t="shared" si="137"/>
        <v>0</v>
      </c>
      <c r="M184" s="475">
        <f t="shared" si="163"/>
        <v>8921.0634361236534</v>
      </c>
      <c r="N184" s="579">
        <f>($N$147-$N$142)/($A$107-$A$102)+N183</f>
        <v>0.5</v>
      </c>
      <c r="O184" s="475">
        <f t="shared" si="138"/>
        <v>751.91700000000026</v>
      </c>
      <c r="P184" s="1043">
        <f t="shared" si="166"/>
        <v>9672.9804361236529</v>
      </c>
      <c r="Q184" s="467">
        <f t="shared" si="139"/>
        <v>67882.068543774949</v>
      </c>
      <c r="R184" s="467">
        <f t="shared" si="164"/>
        <v>37768.596870824171</v>
      </c>
      <c r="S184" s="518">
        <f t="shared" si="140"/>
        <v>1.223684871229491</v>
      </c>
      <c r="T184" s="118" t="str">
        <f t="shared" si="141"/>
        <v>No</v>
      </c>
      <c r="U184" s="1259">
        <f t="shared" si="142"/>
        <v>1</v>
      </c>
      <c r="V184" s="1247">
        <f t="shared" si="134"/>
        <v>73186.319788703258</v>
      </c>
      <c r="W184" s="1260">
        <f t="shared" si="135"/>
        <v>0.29663005775103268</v>
      </c>
      <c r="X184" s="473">
        <f t="shared" si="143"/>
        <v>37017.425400090113</v>
      </c>
      <c r="Y184" s="474">
        <f t="shared" si="144"/>
        <v>16346.183235870674</v>
      </c>
      <c r="Z184" s="116">
        <f t="shared" si="145"/>
        <v>3241.8415741695385</v>
      </c>
      <c r="AA184" s="116">
        <f t="shared" si="146"/>
        <v>0</v>
      </c>
      <c r="AB184" s="116">
        <f t="shared" si="147"/>
        <v>16580.869578572932</v>
      </c>
      <c r="AC184" s="116">
        <f t="shared" si="148"/>
        <v>73186.319788703258</v>
      </c>
      <c r="AD184" s="475">
        <f t="shared" si="149"/>
        <v>6903.9537271393347</v>
      </c>
      <c r="AE184" s="579">
        <f t="shared" si="150"/>
        <v>0.50579706025611593</v>
      </c>
      <c r="AF184" s="100">
        <f t="shared" si="151"/>
        <v>0.22335025566340616</v>
      </c>
      <c r="AG184" s="100">
        <f t="shared" si="152"/>
        <v>4.429573154558232E-2</v>
      </c>
      <c r="AH184" s="100">
        <f t="shared" si="165"/>
        <v>0</v>
      </c>
      <c r="AI184" s="100">
        <f t="shared" si="153"/>
        <v>0.22655695253489558</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4678.6267528880244</v>
      </c>
      <c r="D185" s="475">
        <f>'Input data'!E125</f>
        <v>48538822.712079689</v>
      </c>
      <c r="E185" s="473">
        <f>'Input data'!J125*C185</f>
        <v>56288.771934824821</v>
      </c>
      <c r="F185" s="474">
        <f>'Input data'!L125</f>
        <v>104827.5946469045</v>
      </c>
      <c r="G185" s="474">
        <f t="shared" si="167"/>
        <v>28060.280422522315</v>
      </c>
      <c r="H185" s="474">
        <f t="shared" si="160"/>
        <v>49789.985615151316</v>
      </c>
      <c r="I185" s="475">
        <f t="shared" si="136"/>
        <v>48538.822712079687</v>
      </c>
      <c r="J185" s="579">
        <f t="shared" si="161"/>
        <v>0.26982605330583315</v>
      </c>
      <c r="K185" s="474">
        <f t="shared" si="162"/>
        <v>10109.584192511804</v>
      </c>
      <c r="L185" s="474">
        <f t="shared" si="137"/>
        <v>0</v>
      </c>
      <c r="M185" s="475">
        <f t="shared" si="163"/>
        <v>10109.584192511804</v>
      </c>
      <c r="N185" s="579">
        <f>($N$147-$N$142)/($A$107-$A$102)+N184</f>
        <v>0.5</v>
      </c>
      <c r="O185" s="475">
        <f t="shared" si="138"/>
        <v>751.91700000000026</v>
      </c>
      <c r="P185" s="1043">
        <f t="shared" si="166"/>
        <v>10861.501192511803</v>
      </c>
      <c r="Q185" s="467">
        <f t="shared" si="139"/>
        <v>66988.76484516183</v>
      </c>
      <c r="R185" s="467">
        <f t="shared" si="164"/>
        <v>38928.484422639514</v>
      </c>
      <c r="S185" s="518">
        <f t="shared" si="140"/>
        <v>1.2339844596289533</v>
      </c>
      <c r="T185" s="118" t="str">
        <f t="shared" si="141"/>
        <v>No</v>
      </c>
      <c r="U185" s="1259">
        <f t="shared" si="142"/>
        <v>1</v>
      </c>
      <c r="V185" s="1247">
        <f t="shared" si="134"/>
        <v>73280.613549310365</v>
      </c>
      <c r="W185" s="1260">
        <f t="shared" si="135"/>
        <v>0.30094157176700709</v>
      </c>
      <c r="X185" s="473">
        <f t="shared" si="143"/>
        <v>35441.783747567686</v>
      </c>
      <c r="Y185" s="474">
        <f t="shared" si="144"/>
        <v>17604.539191827451</v>
      </c>
      <c r="Z185" s="116">
        <f t="shared" si="145"/>
        <v>3295.5782878286518</v>
      </c>
      <c r="AA185" s="116">
        <f t="shared" si="146"/>
        <v>0</v>
      </c>
      <c r="AB185" s="116">
        <f t="shared" si="147"/>
        <v>16938.71232208658</v>
      </c>
      <c r="AC185" s="116">
        <f t="shared" si="148"/>
        <v>73280.613549310365</v>
      </c>
      <c r="AD185" s="475">
        <f t="shared" si="149"/>
        <v>7381.5033250453707</v>
      </c>
      <c r="AE185" s="579">
        <f t="shared" si="150"/>
        <v>0.48364474628366733</v>
      </c>
      <c r="AF185" s="100">
        <f t="shared" si="151"/>
        <v>0.2402346042037625</v>
      </c>
      <c r="AG185" s="100">
        <f t="shared" si="152"/>
        <v>4.4972034596995621E-2</v>
      </c>
      <c r="AH185" s="100">
        <f t="shared" si="165"/>
        <v>0</v>
      </c>
      <c r="AI185" s="100">
        <f t="shared" si="153"/>
        <v>0.23114861491557459</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4782.707139404285</v>
      </c>
      <c r="D186" s="475">
        <f>'Input data'!E126</f>
        <v>47372560.213695109</v>
      </c>
      <c r="E186" s="473">
        <f>'Input data'!J126*C186</f>
        <v>57540.967813858311</v>
      </c>
      <c r="F186" s="474">
        <f>'Input data'!L126</f>
        <v>104913.52802755342</v>
      </c>
      <c r="G186" s="474">
        <f t="shared" si="167"/>
        <v>26007.089172093853</v>
      </c>
      <c r="H186" s="474">
        <f t="shared" si="160"/>
        <v>51467.21409727697</v>
      </c>
      <c r="I186" s="475">
        <f t="shared" si="136"/>
        <v>47372.560213695106</v>
      </c>
      <c r="J186" s="579">
        <f t="shared" si="161"/>
        <v>0.2958608426446665</v>
      </c>
      <c r="K186" s="474">
        <f t="shared" si="162"/>
        <v>11100.011630442761</v>
      </c>
      <c r="L186" s="474">
        <f t="shared" si="137"/>
        <v>0</v>
      </c>
      <c r="M186" s="475">
        <f t="shared" si="163"/>
        <v>11100.011630442761</v>
      </c>
      <c r="N186" s="579">
        <f>($N$147-$N$142)/($A$107-$A$102)+N185</f>
        <v>0.5</v>
      </c>
      <c r="O186" s="475">
        <f t="shared" si="138"/>
        <v>751.91700000000026</v>
      </c>
      <c r="P186" s="1043">
        <f t="shared" si="166"/>
        <v>11851.928630442761</v>
      </c>
      <c r="Q186" s="467">
        <f t="shared" si="139"/>
        <v>65622.374638928057</v>
      </c>
      <c r="R186" s="467">
        <f t="shared" si="164"/>
        <v>39615.285466834204</v>
      </c>
      <c r="S186" s="518">
        <f t="shared" si="140"/>
        <v>1.2277908433668587</v>
      </c>
      <c r="T186" s="118" t="str">
        <f t="shared" si="141"/>
        <v>No</v>
      </c>
      <c r="U186" s="1259">
        <f t="shared" si="142"/>
        <v>1</v>
      </c>
      <c r="V186" s="1247">
        <f t="shared" si="134"/>
        <v>72648.02801926143</v>
      </c>
      <c r="W186" s="1260">
        <f t="shared" si="135"/>
        <v>0.30754375164867309</v>
      </c>
      <c r="X186" s="473">
        <f t="shared" si="143"/>
        <v>33356.87463063607</v>
      </c>
      <c r="Y186" s="474">
        <f t="shared" si="144"/>
        <v>18623.45932879344</v>
      </c>
      <c r="Z186" s="116">
        <f t="shared" si="145"/>
        <v>3352.1643896886117</v>
      </c>
      <c r="AA186" s="116">
        <f t="shared" si="146"/>
        <v>0</v>
      </c>
      <c r="AB186" s="116">
        <f t="shared" si="147"/>
        <v>17315.529670143307</v>
      </c>
      <c r="AC186" s="116">
        <f t="shared" si="148"/>
        <v>72648.02801926143</v>
      </c>
      <c r="AD186" s="475">
        <f t="shared" si="149"/>
        <v>7349.7854585422174</v>
      </c>
      <c r="AE186" s="579">
        <f t="shared" si="150"/>
        <v>0.45915733076460169</v>
      </c>
      <c r="AF186" s="100">
        <f t="shared" si="151"/>
        <v>0.25635189056825791</v>
      </c>
      <c r="AG186" s="100">
        <f t="shared" si="152"/>
        <v>4.614253794748345E-2</v>
      </c>
      <c r="AH186" s="100">
        <f t="shared" si="165"/>
        <v>0</v>
      </c>
      <c r="AI186" s="100">
        <f t="shared" si="153"/>
        <v>0.23834824071965696</v>
      </c>
      <c r="AJ186" s="100">
        <f t="shared" si="154"/>
        <v>1</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4895.4664822406658</v>
      </c>
      <c r="D187" s="475">
        <f>'Input data'!E127</f>
        <v>47544656.205152296</v>
      </c>
      <c r="E187" s="473">
        <f>'Input data'!J127*C187</f>
        <v>58897.58061237228</v>
      </c>
      <c r="F187" s="474">
        <f>'Input data'!L127</f>
        <v>106442.23681752456</v>
      </c>
      <c r="G187" s="474">
        <f>G177*(1-E5)</f>
        <v>23953.89792166539</v>
      </c>
      <c r="H187" s="474">
        <f t="shared" si="160"/>
        <v>54460.343302584144</v>
      </c>
      <c r="I187" s="475">
        <f t="shared" si="136"/>
        <v>47544.656205152292</v>
      </c>
      <c r="J187" s="579">
        <f t="shared" si="161"/>
        <v>0.32189563198349985</v>
      </c>
      <c r="K187" s="474">
        <f t="shared" si="162"/>
        <v>12378.151084883968</v>
      </c>
      <c r="L187" s="474">
        <f t="shared" si="137"/>
        <v>0</v>
      </c>
      <c r="M187" s="475">
        <f t="shared" si="163"/>
        <v>12378.151084883968</v>
      </c>
      <c r="N187" s="579">
        <f>$C$27</f>
        <v>0.5</v>
      </c>
      <c r="O187" s="475">
        <f t="shared" si="138"/>
        <v>751.91700000000026</v>
      </c>
      <c r="P187" s="1043">
        <f t="shared" si="166"/>
        <v>13130.068084883967</v>
      </c>
      <c r="Q187" s="467">
        <f t="shared" si="139"/>
        <v>65284.173139365565</v>
      </c>
      <c r="R187" s="467">
        <f t="shared" si="164"/>
        <v>41330.275217700175</v>
      </c>
      <c r="S187" s="518">
        <f t="shared" si="140"/>
        <v>1.2507673905933612</v>
      </c>
      <c r="T187" s="118" t="str">
        <f t="shared" si="141"/>
        <v>No</v>
      </c>
      <c r="U187" s="1259">
        <f t="shared" si="142"/>
        <v>1</v>
      </c>
      <c r="V187" s="1247">
        <f t="shared" si="134"/>
        <v>73398.302726715585</v>
      </c>
      <c r="W187" s="1260">
        <f t="shared" si="135"/>
        <v>0.31044005724397417</v>
      </c>
      <c r="X187" s="473">
        <f t="shared" si="143"/>
        <v>32240.23904855657</v>
      </c>
      <c r="Y187" s="474">
        <f t="shared" si="144"/>
        <v>20020.825933571552</v>
      </c>
      <c r="Z187" s="116">
        <f t="shared" si="145"/>
        <v>3413.4690396132614</v>
      </c>
      <c r="AA187" s="116">
        <f t="shared" si="146"/>
        <v>0</v>
      </c>
      <c r="AB187" s="116">
        <f t="shared" si="147"/>
        <v>17723.768704974198</v>
      </c>
      <c r="AC187" s="116">
        <f t="shared" si="148"/>
        <v>73398.302726715585</v>
      </c>
      <c r="AD187" s="475">
        <f t="shared" si="149"/>
        <v>8286.3411268911805</v>
      </c>
      <c r="AE187" s="579">
        <f t="shared" si="150"/>
        <v>0.4392504710714753</v>
      </c>
      <c r="AF187" s="100">
        <f t="shared" si="151"/>
        <v>0.27276960351679019</v>
      </c>
      <c r="AG187" s="100">
        <f t="shared" si="152"/>
        <v>4.6506103176835775E-2</v>
      </c>
      <c r="AH187" s="100">
        <f t="shared" si="165"/>
        <v>0</v>
      </c>
      <c r="AI187" s="100">
        <f t="shared" si="153"/>
        <v>0.24147382223489869</v>
      </c>
      <c r="AJ187" s="100">
        <f t="shared" si="154"/>
        <v>0.99999999999999989</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5007.2618284439486</v>
      </c>
      <c r="D188" s="475">
        <f>'Input data'!E128</f>
        <v>47264829.111875661</v>
      </c>
      <c r="E188" s="473">
        <f>'Input data'!J128*C188</f>
        <v>60242.595523409356</v>
      </c>
      <c r="F188" s="474">
        <f>'Input data'!L128</f>
        <v>107507.42463528502</v>
      </c>
      <c r="G188" s="474">
        <f>($G$152-$G$147)/($A$152-$A$147)+G187</f>
        <v>21900.706671236927</v>
      </c>
      <c r="H188" s="474">
        <f t="shared" si="160"/>
        <v>57022.709316633642</v>
      </c>
      <c r="I188" s="475">
        <f t="shared" si="136"/>
        <v>47264.829111875661</v>
      </c>
      <c r="J188" s="579">
        <f t="shared" si="161"/>
        <v>0.34793042132233321</v>
      </c>
      <c r="K188" s="474">
        <f t="shared" si="162"/>
        <v>13535.828559700056</v>
      </c>
      <c r="L188" s="474">
        <f t="shared" si="137"/>
        <v>0</v>
      </c>
      <c r="M188" s="475">
        <f t="shared" si="163"/>
        <v>13535.828559700056</v>
      </c>
      <c r="N188" s="579">
        <f>N187</f>
        <v>0.5</v>
      </c>
      <c r="O188" s="475">
        <f t="shared" si="138"/>
        <v>751.91700000000026</v>
      </c>
      <c r="P188" s="1043">
        <f t="shared" si="166"/>
        <v>14287.745559700055</v>
      </c>
      <c r="Q188" s="467">
        <f t="shared" si="139"/>
        <v>64635.670428170517</v>
      </c>
      <c r="R188" s="467">
        <f t="shared" si="164"/>
        <v>42734.96375693359</v>
      </c>
      <c r="S188" s="518">
        <f t="shared" si="140"/>
        <v>1.263760532720952</v>
      </c>
      <c r="T188" s="118" t="str">
        <f t="shared" si="141"/>
        <v>No</v>
      </c>
      <c r="U188" s="1259">
        <f t="shared" si="142"/>
        <v>1</v>
      </c>
      <c r="V188" s="1247">
        <f t="shared" si="134"/>
        <v>73691.711412367193</v>
      </c>
      <c r="W188" s="1260">
        <f t="shared" si="135"/>
        <v>0.31454304981852543</v>
      </c>
      <c r="X188" s="473">
        <f t="shared" si="143"/>
        <v>30819.957205252682</v>
      </c>
      <c r="Y188" s="474">
        <f t="shared" si="144"/>
        <v>21268.986977569155</v>
      </c>
      <c r="Z188" s="116">
        <f t="shared" si="145"/>
        <v>3474.2495868371143</v>
      </c>
      <c r="AA188" s="116">
        <f t="shared" si="146"/>
        <v>0</v>
      </c>
      <c r="AB188" s="116">
        <f t="shared" si="147"/>
        <v>18128.517642708237</v>
      </c>
      <c r="AC188" s="116">
        <f t="shared" si="148"/>
        <v>73691.711412367193</v>
      </c>
      <c r="AD188" s="475">
        <f t="shared" si="149"/>
        <v>8919.250534015755</v>
      </c>
      <c r="AE188" s="579">
        <f t="shared" si="150"/>
        <v>0.41822827309287286</v>
      </c>
      <c r="AF188" s="100">
        <f t="shared" si="151"/>
        <v>0.28862115657148008</v>
      </c>
      <c r="AG188" s="100">
        <f t="shared" si="152"/>
        <v>4.7145730778265706E-2</v>
      </c>
      <c r="AH188" s="100">
        <f t="shared" si="165"/>
        <v>0</v>
      </c>
      <c r="AI188" s="100">
        <f t="shared" si="153"/>
        <v>0.24600483955738131</v>
      </c>
      <c r="AJ188" s="100">
        <f t="shared" si="154"/>
        <v>0.99999999999999989</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5127.4326756514902</v>
      </c>
      <c r="D189" s="475">
        <f>'Input data'!E129</f>
        <v>45911028.865820996</v>
      </c>
      <c r="E189" s="473">
        <f>'Input data'!J129*C189</f>
        <v>61688.376469176088</v>
      </c>
      <c r="F189" s="474">
        <f>'Input data'!L129</f>
        <v>107599.40533499708</v>
      </c>
      <c r="G189" s="474">
        <f t="shared" ref="G189:G191" si="168">($G$152-$G$147)/($A$152-$A$147)+G188</f>
        <v>19847.515420808464</v>
      </c>
      <c r="H189" s="474">
        <f t="shared" si="160"/>
        <v>58635.023064926318</v>
      </c>
      <c r="I189" s="475">
        <f t="shared" si="136"/>
        <v>45911.028865820997</v>
      </c>
      <c r="J189" s="579">
        <f t="shared" si="161"/>
        <v>0.37396521066116656</v>
      </c>
      <c r="K189" s="474">
        <f t="shared" si="162"/>
        <v>14343.407578208971</v>
      </c>
      <c r="L189" s="474">
        <f t="shared" si="137"/>
        <v>0</v>
      </c>
      <c r="M189" s="475">
        <f t="shared" si="163"/>
        <v>14343.407578208971</v>
      </c>
      <c r="N189" s="579">
        <f t="shared" ref="N189:N210" si="169">N188</f>
        <v>0.5</v>
      </c>
      <c r="O189" s="475">
        <f t="shared" si="138"/>
        <v>751.91700000000026</v>
      </c>
      <c r="P189" s="1043">
        <f t="shared" si="166"/>
        <v>15095.324578208971</v>
      </c>
      <c r="Q189" s="467">
        <f t="shared" si="139"/>
        <v>63387.213907525809</v>
      </c>
      <c r="R189" s="467">
        <f t="shared" si="164"/>
        <v>43539.698486717345</v>
      </c>
      <c r="S189" s="518">
        <f t="shared" si="140"/>
        <v>1.2567269621802555</v>
      </c>
      <c r="T189" s="118" t="str">
        <f t="shared" si="141"/>
        <v>No</v>
      </c>
      <c r="U189" s="1259">
        <f t="shared" si="142"/>
        <v>1</v>
      </c>
      <c r="V189" s="1247">
        <f t="shared" si="134"/>
        <v>72954.092711814621</v>
      </c>
      <c r="W189" s="1260">
        <f t="shared" si="135"/>
        <v>0.32198423880985849</v>
      </c>
      <c r="X189" s="473">
        <f t="shared" si="143"/>
        <v>28741.901284343348</v>
      </c>
      <c r="Y189" s="474">
        <f t="shared" si="144"/>
        <v>22109.018103152037</v>
      </c>
      <c r="Z189" s="116">
        <f t="shared" si="145"/>
        <v>3539.5837004803343</v>
      </c>
      <c r="AA189" s="116">
        <f t="shared" si="146"/>
        <v>0</v>
      </c>
      <c r="AB189" s="116">
        <f t="shared" si="147"/>
        <v>18563.58962383891</v>
      </c>
      <c r="AC189" s="116">
        <f t="shared" si="148"/>
        <v>72954.092711814621</v>
      </c>
      <c r="AD189" s="475">
        <f t="shared" si="149"/>
        <v>8894.3858635348843</v>
      </c>
      <c r="AE189" s="579">
        <f t="shared" si="150"/>
        <v>0.39397243137380167</v>
      </c>
      <c r="AF189" s="100">
        <f t="shared" si="151"/>
        <v>0.3030538422359349</v>
      </c>
      <c r="AG189" s="100">
        <f t="shared" si="152"/>
        <v>4.8517959293421696E-2</v>
      </c>
      <c r="AH189" s="100">
        <f t="shared" si="165"/>
        <v>0</v>
      </c>
      <c r="AI189" s="100">
        <f t="shared" si="153"/>
        <v>0.25445576709684187</v>
      </c>
      <c r="AJ189" s="100">
        <f t="shared" si="154"/>
        <v>1.0000000000000002</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5247.6087278453806</v>
      </c>
      <c r="D190" s="475">
        <f>'Input data'!E130</f>
        <v>43025080.542663962</v>
      </c>
      <c r="E190" s="473">
        <f>'Input data'!J130*C190</f>
        <v>63134.220036371073</v>
      </c>
      <c r="F190" s="474">
        <f>'Input data'!L130</f>
        <v>106159.30057903504</v>
      </c>
      <c r="G190" s="474">
        <f t="shared" si="168"/>
        <v>17794.324170380001</v>
      </c>
      <c r="H190" s="474">
        <f t="shared" si="160"/>
        <v>58809.524918076582</v>
      </c>
      <c r="I190" s="475">
        <f t="shared" si="136"/>
        <v>43025.080542663964</v>
      </c>
      <c r="J190" s="100">
        <f>$H$19</f>
        <v>0.4</v>
      </c>
      <c r="K190" s="474">
        <f t="shared" si="162"/>
        <v>14561.935806789734</v>
      </c>
      <c r="L190" s="474">
        <f t="shared" si="137"/>
        <v>0</v>
      </c>
      <c r="M190" s="475">
        <f t="shared" si="163"/>
        <v>14561.935806789734</v>
      </c>
      <c r="N190" s="579">
        <f t="shared" si="169"/>
        <v>0.5</v>
      </c>
      <c r="O190" s="475">
        <f t="shared" si="138"/>
        <v>751.91700000000026</v>
      </c>
      <c r="P190" s="1043">
        <f t="shared" si="166"/>
        <v>15313.852806789733</v>
      </c>
      <c r="Q190" s="467">
        <f t="shared" si="139"/>
        <v>61289.996281666849</v>
      </c>
      <c r="R190" s="467">
        <f t="shared" si="164"/>
        <v>43495.672111286847</v>
      </c>
      <c r="S190" s="518">
        <f t="shared" si="140"/>
        <v>1.2260954453027273</v>
      </c>
      <c r="T190" s="118" t="str">
        <f t="shared" si="141"/>
        <v>No</v>
      </c>
      <c r="U190" s="1259">
        <f t="shared" si="142"/>
        <v>1</v>
      </c>
      <c r="V190" s="1247">
        <f t="shared" si="134"/>
        <v>70684.352622966573</v>
      </c>
      <c r="W190" s="1260">
        <f t="shared" si="135"/>
        <v>0.33416712207572952</v>
      </c>
      <c r="X190" s="473">
        <f t="shared" si="143"/>
        <v>25815.048325598378</v>
      </c>
      <c r="Y190" s="474">
        <f t="shared" si="144"/>
        <v>22265.703204075762</v>
      </c>
      <c r="Z190" s="116">
        <f t="shared" si="145"/>
        <v>3604.9206439543955</v>
      </c>
      <c r="AA190" s="116">
        <f t="shared" si="146"/>
        <v>0</v>
      </c>
      <c r="AB190" s="116">
        <f t="shared" si="147"/>
        <v>18998.680449338044</v>
      </c>
      <c r="AC190" s="116">
        <f t="shared" si="148"/>
        <v>70684.352622966573</v>
      </c>
      <c r="AD190" s="475">
        <f t="shared" si="149"/>
        <v>8020.7241552183768</v>
      </c>
      <c r="AE190" s="579">
        <f t="shared" si="150"/>
        <v>0.36521588396369664</v>
      </c>
      <c r="AF190" s="100">
        <f t="shared" si="151"/>
        <v>0.3150018692657765</v>
      </c>
      <c r="AG190" s="100">
        <f t="shared" si="152"/>
        <v>5.1000263993124476E-2</v>
      </c>
      <c r="AH190" s="100">
        <f t="shared" si="165"/>
        <v>0</v>
      </c>
      <c r="AI190" s="100">
        <f t="shared" si="153"/>
        <v>0.26878198277740245</v>
      </c>
      <c r="AJ190" s="100">
        <f t="shared" si="154"/>
        <v>1</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5388.2194214943684</v>
      </c>
      <c r="D191" s="475">
        <f>'Input data'!E131</f>
        <v>41478479.110071354</v>
      </c>
      <c r="E191" s="473">
        <f>'Input data'!J131*C191</f>
        <v>64825.913707279899</v>
      </c>
      <c r="F191" s="474">
        <f>'Input data'!L131</f>
        <v>106304.39281735125</v>
      </c>
      <c r="G191" s="474">
        <f t="shared" si="168"/>
        <v>15741.132919951538</v>
      </c>
      <c r="H191" s="474">
        <f t="shared" si="160"/>
        <v>60382.010429382244</v>
      </c>
      <c r="I191" s="475">
        <f t="shared" si="136"/>
        <v>41478.479110071356</v>
      </c>
      <c r="J191" s="100">
        <f>J190</f>
        <v>0.4</v>
      </c>
      <c r="K191" s="474">
        <f t="shared" si="162"/>
        <v>14038.485054436811</v>
      </c>
      <c r="L191" s="474">
        <f t="shared" si="137"/>
        <v>0</v>
      </c>
      <c r="M191" s="475">
        <f t="shared" si="163"/>
        <v>14038.485054436811</v>
      </c>
      <c r="N191" s="579">
        <f t="shared" si="169"/>
        <v>0.5</v>
      </c>
      <c r="O191" s="475">
        <f t="shared" si="138"/>
        <v>751.91700000000026</v>
      </c>
      <c r="P191" s="1043">
        <f t="shared" si="166"/>
        <v>14790.40205443681</v>
      </c>
      <c r="Q191" s="467">
        <f t="shared" si="139"/>
        <v>61332.741294896972</v>
      </c>
      <c r="R191" s="467">
        <f t="shared" si="164"/>
        <v>45591.608374945434</v>
      </c>
      <c r="S191" s="518">
        <f t="shared" si="140"/>
        <v>1.2509477423299891</v>
      </c>
      <c r="T191" s="118" t="str">
        <f t="shared" si="141"/>
        <v>No</v>
      </c>
      <c r="U191" s="1259">
        <f t="shared" si="142"/>
        <v>1</v>
      </c>
      <c r="V191" s="1247">
        <f t="shared" si="134"/>
        <v>69858.738988497091</v>
      </c>
      <c r="W191" s="1260">
        <f t="shared" si="135"/>
        <v>0.34284240625384033</v>
      </c>
      <c r="X191" s="473">
        <f t="shared" si="143"/>
        <v>24887.087466042813</v>
      </c>
      <c r="Y191" s="474">
        <f t="shared" si="144"/>
        <v>21782.53031569524</v>
      </c>
      <c r="Z191" s="116">
        <f t="shared" si="145"/>
        <v>3681.3674299410918</v>
      </c>
      <c r="AA191" s="116">
        <f t="shared" si="146"/>
        <v>0</v>
      </c>
      <c r="AB191" s="116">
        <f t="shared" si="147"/>
        <v>19507.753776817954</v>
      </c>
      <c r="AC191" s="116">
        <f t="shared" si="148"/>
        <v>69858.738988497091</v>
      </c>
      <c r="AD191" s="475">
        <f t="shared" si="149"/>
        <v>9145.9545460912741</v>
      </c>
      <c r="AE191" s="579">
        <f t="shared" si="150"/>
        <v>0.35624873604060775</v>
      </c>
      <c r="AF191" s="100">
        <f t="shared" si="151"/>
        <v>0.31180823803993857</v>
      </c>
      <c r="AG191" s="100">
        <f t="shared" si="152"/>
        <v>5.269730721230545E-2</v>
      </c>
      <c r="AH191" s="100">
        <f t="shared" si="165"/>
        <v>0</v>
      </c>
      <c r="AI191" s="100">
        <f t="shared" si="153"/>
        <v>0.27924571870714832</v>
      </c>
      <c r="AJ191" s="100">
        <f t="shared" si="154"/>
        <v>1</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5536.7385220125598</v>
      </c>
      <c r="D192" s="475">
        <f>'Input data'!E132</f>
        <v>41255345.957373768</v>
      </c>
      <c r="E192" s="473">
        <f>'Input data'!J132*C192</f>
        <v>66612.753782067521</v>
      </c>
      <c r="F192" s="474">
        <f>'Input data'!L132</f>
        <v>107868.0997394413</v>
      </c>
      <c r="G192" s="474">
        <f>G177*(1-E6)</f>
        <v>13687.941669523079</v>
      </c>
      <c r="H192" s="474">
        <f t="shared" si="160"/>
        <v>63251.103424816232</v>
      </c>
      <c r="I192" s="475">
        <f t="shared" si="136"/>
        <v>41255.345957373771</v>
      </c>
      <c r="J192" s="100">
        <f t="shared" ref="J192:J210" si="170">J191</f>
        <v>0.4</v>
      </c>
      <c r="K192" s="474">
        <f t="shared" si="162"/>
        <v>13962.965134311924</v>
      </c>
      <c r="L192" s="474">
        <f t="shared" si="137"/>
        <v>0</v>
      </c>
      <c r="M192" s="475">
        <f t="shared" si="163"/>
        <v>13962.965134311924</v>
      </c>
      <c r="N192" s="579">
        <f t="shared" si="169"/>
        <v>0.5</v>
      </c>
      <c r="O192" s="475">
        <f t="shared" si="138"/>
        <v>751.91700000000026</v>
      </c>
      <c r="P192" s="1043">
        <f t="shared" si="166"/>
        <v>14714.882134311923</v>
      </c>
      <c r="Q192" s="467">
        <f t="shared" si="139"/>
        <v>62224.162960027388</v>
      </c>
      <c r="R192" s="467">
        <f t="shared" si="164"/>
        <v>48536.221290504312</v>
      </c>
      <c r="S192" s="518">
        <f t="shared" si="140"/>
        <v>1.2953024760386178</v>
      </c>
      <c r="T192" s="118" t="str">
        <f t="shared" si="141"/>
        <v>No</v>
      </c>
      <c r="U192" s="1259">
        <f t="shared" si="142"/>
        <v>1</v>
      </c>
      <c r="V192" s="1247">
        <f t="shared" si="134"/>
        <v>70397.144353838172</v>
      </c>
      <c r="W192" s="1260">
        <f t="shared" si="135"/>
        <v>0.34737754235140295</v>
      </c>
      <c r="X192" s="473">
        <f t="shared" si="143"/>
        <v>24753.207574424261</v>
      </c>
      <c r="Y192" s="474">
        <f t="shared" si="144"/>
        <v>21836.363886437786</v>
      </c>
      <c r="Z192" s="116">
        <f t="shared" si="145"/>
        <v>3762.1138340559442</v>
      </c>
      <c r="AA192" s="116">
        <f t="shared" si="146"/>
        <v>0</v>
      </c>
      <c r="AB192" s="116">
        <f t="shared" si="147"/>
        <v>20045.459058920187</v>
      </c>
      <c r="AC192" s="116">
        <f t="shared" si="148"/>
        <v>70397.144353838172</v>
      </c>
      <c r="AD192" s="475">
        <f t="shared" si="149"/>
        <v>11065.265904901182</v>
      </c>
      <c r="AE192" s="579">
        <f t="shared" si="150"/>
        <v>0.35162232504782948</v>
      </c>
      <c r="AF192" s="100">
        <f t="shared" si="151"/>
        <v>0.31018820559938282</v>
      </c>
      <c r="AG192" s="100">
        <f t="shared" si="152"/>
        <v>5.3441284708174774E-2</v>
      </c>
      <c r="AH192" s="100">
        <f t="shared" si="165"/>
        <v>0</v>
      </c>
      <c r="AI192" s="100">
        <f t="shared" si="153"/>
        <v>0.28474818464461299</v>
      </c>
      <c r="AJ192" s="100">
        <f t="shared" si="154"/>
        <v>1</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5692.5826618103829</v>
      </c>
      <c r="D193" s="475">
        <f>'Input data'!E133</f>
        <v>40262688.170007341</v>
      </c>
      <c r="E193" s="473">
        <f>'Input data'!J133*C193</f>
        <v>68487.721738646593</v>
      </c>
      <c r="F193" s="474">
        <f>'Input data'!L133</f>
        <v>108750.40990865394</v>
      </c>
      <c r="G193" s="474">
        <f>G192</f>
        <v>13687.941669523079</v>
      </c>
      <c r="H193" s="474">
        <f t="shared" si="160"/>
        <v>63395.411442229524</v>
      </c>
      <c r="I193" s="475">
        <f t="shared" si="136"/>
        <v>40262.688170007343</v>
      </c>
      <c r="J193" s="100">
        <f t="shared" si="170"/>
        <v>0.4</v>
      </c>
      <c r="K193" s="474">
        <f t="shared" si="162"/>
        <v>13626.997861376638</v>
      </c>
      <c r="L193" s="474">
        <f t="shared" si="137"/>
        <v>0</v>
      </c>
      <c r="M193" s="475">
        <f t="shared" si="163"/>
        <v>13626.997861376638</v>
      </c>
      <c r="N193" s="579">
        <f t="shared" si="169"/>
        <v>0.5</v>
      </c>
      <c r="O193" s="475">
        <f t="shared" si="138"/>
        <v>751.91700000000026</v>
      </c>
      <c r="P193" s="1043">
        <f t="shared" si="166"/>
        <v>14378.914861376637</v>
      </c>
      <c r="Q193" s="467">
        <f t="shared" si="139"/>
        <v>62704.438250375963</v>
      </c>
      <c r="R193" s="467">
        <f t="shared" si="164"/>
        <v>49016.49658085288</v>
      </c>
      <c r="S193" s="518">
        <f t="shared" si="140"/>
        <v>1.2716091698307297</v>
      </c>
      <c r="T193" s="118" t="str">
        <f t="shared" si="141"/>
        <v>No</v>
      </c>
      <c r="U193" s="1259">
        <f t="shared" si="142"/>
        <v>1</v>
      </c>
      <c r="V193" s="1247">
        <f t="shared" si="134"/>
        <v>70203.584560282368</v>
      </c>
      <c r="W193" s="1260">
        <f t="shared" si="135"/>
        <v>0.35445223039388429</v>
      </c>
      <c r="X193" s="473">
        <f t="shared" si="143"/>
        <v>24157.612902004406</v>
      </c>
      <c r="Y193" s="474">
        <f t="shared" si="144"/>
        <v>21589.444720275085</v>
      </c>
      <c r="Z193" s="116">
        <f t="shared" si="145"/>
        <v>3846.8426928164727</v>
      </c>
      <c r="AA193" s="116">
        <f t="shared" si="146"/>
        <v>0</v>
      </c>
      <c r="AB193" s="116">
        <f t="shared" si="147"/>
        <v>20609.68424518641</v>
      </c>
      <c r="AC193" s="116">
        <f t="shared" si="148"/>
        <v>70203.584560282368</v>
      </c>
      <c r="AD193" s="475">
        <f t="shared" si="149"/>
        <v>10469.671232481327</v>
      </c>
      <c r="AE193" s="579">
        <f t="shared" si="150"/>
        <v>0.34410796903483987</v>
      </c>
      <c r="AF193" s="100">
        <f t="shared" si="151"/>
        <v>0.30752624464263184</v>
      </c>
      <c r="AG193" s="100">
        <f t="shared" si="152"/>
        <v>5.4795530981943924E-2</v>
      </c>
      <c r="AH193" s="100">
        <f t="shared" si="165"/>
        <v>0</v>
      </c>
      <c r="AI193" s="100">
        <f t="shared" si="153"/>
        <v>0.29357025534058451</v>
      </c>
      <c r="AJ193" s="100">
        <f t="shared" si="154"/>
        <v>1.0000000000000002</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5868.7539844737303</v>
      </c>
      <c r="D194" s="475">
        <f>'Input data'!E134</f>
        <v>39656259.723391399</v>
      </c>
      <c r="E194" s="473">
        <f>'Input data'!J134*C194</f>
        <v>70607.24695974536</v>
      </c>
      <c r="F194" s="474">
        <f>'Input data'!L134</f>
        <v>110263.50668313676</v>
      </c>
      <c r="G194" s="474">
        <f t="shared" ref="G194:G210" si="171">G193</f>
        <v>13687.941669523079</v>
      </c>
      <c r="H194" s="474">
        <f t="shared" si="160"/>
        <v>64042.505957456451</v>
      </c>
      <c r="I194" s="475">
        <f t="shared" si="136"/>
        <v>39656.259723391398</v>
      </c>
      <c r="J194" s="100">
        <f t="shared" si="170"/>
        <v>0.4</v>
      </c>
      <c r="K194" s="474">
        <f t="shared" si="162"/>
        <v>13421.750782239251</v>
      </c>
      <c r="L194" s="474">
        <f t="shared" si="137"/>
        <v>0</v>
      </c>
      <c r="M194" s="475">
        <f t="shared" si="163"/>
        <v>13421.750782239251</v>
      </c>
      <c r="N194" s="579">
        <f t="shared" si="169"/>
        <v>0.5</v>
      </c>
      <c r="O194" s="475">
        <f t="shared" si="138"/>
        <v>751.91700000000026</v>
      </c>
      <c r="P194" s="1043">
        <f t="shared" si="166"/>
        <v>14173.66778223925</v>
      </c>
      <c r="Q194" s="467">
        <f t="shared" si="139"/>
        <v>63556.779844740275</v>
      </c>
      <c r="R194" s="467">
        <f t="shared" si="164"/>
        <v>49868.838175217199</v>
      </c>
      <c r="S194" s="518">
        <f t="shared" si="140"/>
        <v>1.2541510465046863</v>
      </c>
      <c r="T194" s="118" t="str">
        <f t="shared" si="141"/>
        <v>No</v>
      </c>
      <c r="U194" s="1259">
        <f t="shared" si="142"/>
        <v>1</v>
      </c>
      <c r="V194" s="1247">
        <f t="shared" si="134"/>
        <v>70500.482672431332</v>
      </c>
      <c r="W194" s="1260">
        <f t="shared" si="135"/>
        <v>0.36061817011653796</v>
      </c>
      <c r="X194" s="473">
        <f t="shared" si="143"/>
        <v>23793.755834034837</v>
      </c>
      <c r="Y194" s="474">
        <f t="shared" si="144"/>
        <v>21516.600981573767</v>
      </c>
      <c r="Z194" s="116">
        <f t="shared" si="145"/>
        <v>3942.6229713368125</v>
      </c>
      <c r="AA194" s="116">
        <f t="shared" si="146"/>
        <v>0</v>
      </c>
      <c r="AB194" s="116">
        <f t="shared" si="147"/>
        <v>21247.502885485916</v>
      </c>
      <c r="AC194" s="116">
        <f t="shared" si="148"/>
        <v>70500.482672431332</v>
      </c>
      <c r="AD194" s="475">
        <f t="shared" si="149"/>
        <v>10105.814164511758</v>
      </c>
      <c r="AE194" s="579">
        <f t="shared" si="150"/>
        <v>0.33749777210162563</v>
      </c>
      <c r="AF194" s="100">
        <f t="shared" si="151"/>
        <v>0.30519792441063198</v>
      </c>
      <c r="AG194" s="100">
        <f t="shared" si="152"/>
        <v>5.5923347215302753E-2</v>
      </c>
      <c r="AH194" s="100">
        <f t="shared" si="165"/>
        <v>0</v>
      </c>
      <c r="AI194" s="100">
        <f t="shared" si="153"/>
        <v>0.30138095627243966</v>
      </c>
      <c r="AJ194" s="100">
        <f t="shared" si="154"/>
        <v>1</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6036.7474148806386</v>
      </c>
      <c r="D195" s="475">
        <f>'Input data'!E135</f>
        <v>39791303.809178911</v>
      </c>
      <c r="E195" s="473">
        <f>'Input data'!J135*C195</f>
        <v>72628.383585975738</v>
      </c>
      <c r="F195" s="474">
        <f>'Input data'!L135</f>
        <v>112419.68739515464</v>
      </c>
      <c r="G195" s="474">
        <f t="shared" si="171"/>
        <v>13687.941669523079</v>
      </c>
      <c r="H195" s="474">
        <f t="shared" si="160"/>
        <v>65328.980971250305</v>
      </c>
      <c r="I195" s="475">
        <f t="shared" si="136"/>
        <v>39791.303809178913</v>
      </c>
      <c r="J195" s="100">
        <f t="shared" si="170"/>
        <v>0.4</v>
      </c>
      <c r="K195" s="474">
        <f t="shared" si="162"/>
        <v>13467.456758463384</v>
      </c>
      <c r="L195" s="474">
        <f t="shared" si="137"/>
        <v>0</v>
      </c>
      <c r="M195" s="475">
        <f t="shared" si="163"/>
        <v>13467.456758463384</v>
      </c>
      <c r="N195" s="579">
        <f t="shared" si="169"/>
        <v>0.5</v>
      </c>
      <c r="O195" s="475">
        <f t="shared" si="138"/>
        <v>751.91700000000026</v>
      </c>
      <c r="P195" s="1043">
        <f t="shared" si="166"/>
        <v>14219.373758463384</v>
      </c>
      <c r="Q195" s="467">
        <f t="shared" si="139"/>
        <v>64797.548882309995</v>
      </c>
      <c r="R195" s="467">
        <f t="shared" si="164"/>
        <v>51109.607212786912</v>
      </c>
      <c r="S195" s="518">
        <f t="shared" si="140"/>
        <v>1.248928444070059</v>
      </c>
      <c r="T195" s="118" t="str">
        <f t="shared" si="141"/>
        <v>No</v>
      </c>
      <c r="U195" s="1259">
        <f t="shared" si="142"/>
        <v>1</v>
      </c>
      <c r="V195" s="1247">
        <f t="shared" si="134"/>
        <v>71496.920798352017</v>
      </c>
      <c r="W195" s="1260">
        <f t="shared" si="135"/>
        <v>0.36401779390258671</v>
      </c>
      <c r="X195" s="473">
        <f t="shared" si="143"/>
        <v>23874.782285507346</v>
      </c>
      <c r="Y195" s="474">
        <f t="shared" si="144"/>
        <v>21732.46748004089</v>
      </c>
      <c r="Z195" s="116">
        <f t="shared" si="145"/>
        <v>4033.9571187491515</v>
      </c>
      <c r="AA195" s="116">
        <f t="shared" si="146"/>
        <v>0</v>
      </c>
      <c r="AB195" s="116">
        <f t="shared" si="147"/>
        <v>21855.713914054621</v>
      </c>
      <c r="AC195" s="116">
        <f t="shared" si="148"/>
        <v>71496.920798352017</v>
      </c>
      <c r="AD195" s="475">
        <f t="shared" si="149"/>
        <v>10186.840615984267</v>
      </c>
      <c r="AE195" s="579">
        <f t="shared" si="150"/>
        <v>0.33392741979536628</v>
      </c>
      <c r="AF195" s="100">
        <f t="shared" si="151"/>
        <v>0.30396368455271738</v>
      </c>
      <c r="AG195" s="100">
        <f t="shared" si="152"/>
        <v>5.642141051257879E-2</v>
      </c>
      <c r="AH195" s="100">
        <f t="shared" si="165"/>
        <v>0</v>
      </c>
      <c r="AI195" s="100">
        <f t="shared" si="153"/>
        <v>0.30568748513933747</v>
      </c>
      <c r="AJ195" s="100">
        <f t="shared" si="154"/>
        <v>1</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6215.8972497914319</v>
      </c>
      <c r="D196" s="475">
        <f>'Input data'!E136</f>
        <v>39216082.697226301</v>
      </c>
      <c r="E196" s="473">
        <f>'Input data'!J136*C196</f>
        <v>74783.743423823558</v>
      </c>
      <c r="F196" s="474">
        <f>'Input data'!L136</f>
        <v>113999.82612104986</v>
      </c>
      <c r="G196" s="474">
        <f t="shared" si="171"/>
        <v>13687.941669523079</v>
      </c>
      <c r="H196" s="474">
        <f t="shared" si="160"/>
        <v>66025.92423848818</v>
      </c>
      <c r="I196" s="475">
        <f t="shared" si="136"/>
        <v>39216.082697226302</v>
      </c>
      <c r="J196" s="100">
        <f t="shared" si="170"/>
        <v>0.4</v>
      </c>
      <c r="K196" s="474">
        <f t="shared" si="162"/>
        <v>13272.771872315217</v>
      </c>
      <c r="L196" s="474">
        <f t="shared" si="137"/>
        <v>0</v>
      </c>
      <c r="M196" s="475">
        <f t="shared" si="163"/>
        <v>13272.771872315217</v>
      </c>
      <c r="N196" s="579">
        <f t="shared" si="169"/>
        <v>0.5</v>
      </c>
      <c r="O196" s="475">
        <f t="shared" si="138"/>
        <v>751.91700000000026</v>
      </c>
      <c r="P196" s="1043">
        <f t="shared" si="166"/>
        <v>14024.688872315217</v>
      </c>
      <c r="Q196" s="467">
        <f t="shared" si="139"/>
        <v>65689.177035696033</v>
      </c>
      <c r="R196" s="467">
        <f t="shared" si="164"/>
        <v>52001.235366172958</v>
      </c>
      <c r="S196" s="518">
        <f t="shared" si="140"/>
        <v>1.2334397122478211</v>
      </c>
      <c r="T196" s="118" t="str">
        <f t="shared" si="141"/>
        <v>No</v>
      </c>
      <c r="U196" s="1259">
        <f t="shared" si="142"/>
        <v>1</v>
      </c>
      <c r="V196" s="1247">
        <f t="shared" si="134"/>
        <v>71840.298703689623</v>
      </c>
      <c r="W196" s="1260">
        <f t="shared" si="135"/>
        <v>0.3698209800126665</v>
      </c>
      <c r="X196" s="473">
        <f t="shared" si="143"/>
        <v>23529.649618335781</v>
      </c>
      <c r="Y196" s="474">
        <f t="shared" si="144"/>
        <v>21674.976244705002</v>
      </c>
      <c r="Z196" s="116">
        <f t="shared" si="145"/>
        <v>4131.3567455738785</v>
      </c>
      <c r="AA196" s="116">
        <f t="shared" si="146"/>
        <v>0</v>
      </c>
      <c r="AB196" s="116">
        <f t="shared" si="147"/>
        <v>22504.316095074952</v>
      </c>
      <c r="AC196" s="116">
        <f t="shared" si="148"/>
        <v>71840.298703689623</v>
      </c>
      <c r="AD196" s="475">
        <f t="shared" si="149"/>
        <v>9841.7079488127019</v>
      </c>
      <c r="AE196" s="579">
        <f t="shared" si="150"/>
        <v>0.32752716849613167</v>
      </c>
      <c r="AF196" s="100">
        <f t="shared" si="151"/>
        <v>0.3017105529322055</v>
      </c>
      <c r="AG196" s="100">
        <f t="shared" si="152"/>
        <v>5.7507510688589294E-2</v>
      </c>
      <c r="AH196" s="100">
        <f t="shared" si="165"/>
        <v>0</v>
      </c>
      <c r="AI196" s="100">
        <f t="shared" si="153"/>
        <v>0.31325476788307338</v>
      </c>
      <c r="AJ196" s="100">
        <f t="shared" si="154"/>
        <v>0.99999999999999978</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6413.8831516087803</v>
      </c>
      <c r="D197" s="475">
        <f>'Input data'!E137</f>
        <v>38325122.85038393</v>
      </c>
      <c r="E197" s="473">
        <f>'Input data'!J137*C197</f>
        <v>77165.720842053837</v>
      </c>
      <c r="F197" s="474">
        <f>'Input data'!L137</f>
        <v>115490.84369243777</v>
      </c>
      <c r="G197" s="474">
        <f t="shared" si="171"/>
        <v>13687.941669523079</v>
      </c>
      <c r="H197" s="474">
        <f t="shared" si="160"/>
        <v>66556.596557037235</v>
      </c>
      <c r="I197" s="475">
        <f t="shared" si="136"/>
        <v>38325.12285038393</v>
      </c>
      <c r="J197" s="100">
        <f t="shared" si="170"/>
        <v>0.4</v>
      </c>
      <c r="K197" s="474">
        <f t="shared" si="162"/>
        <v>12971.224497330513</v>
      </c>
      <c r="L197" s="474">
        <f t="shared" si="137"/>
        <v>0</v>
      </c>
      <c r="M197" s="475">
        <f t="shared" si="163"/>
        <v>12971.224497330513</v>
      </c>
      <c r="N197" s="579">
        <f t="shared" si="169"/>
        <v>0.5</v>
      </c>
      <c r="O197" s="475">
        <f t="shared" si="138"/>
        <v>751.91700000000026</v>
      </c>
      <c r="P197" s="1043">
        <f t="shared" si="166"/>
        <v>13723.141497330513</v>
      </c>
      <c r="Q197" s="467">
        <f t="shared" si="139"/>
        <v>66521.396729229804</v>
      </c>
      <c r="R197" s="467">
        <f t="shared" si="164"/>
        <v>52833.455059706728</v>
      </c>
      <c r="S197" s="518">
        <f t="shared" si="140"/>
        <v>1.2138276655403368</v>
      </c>
      <c r="T197" s="118" t="str">
        <f t="shared" si="141"/>
        <v>No</v>
      </c>
      <c r="U197" s="1259">
        <f t="shared" si="142"/>
        <v>1</v>
      </c>
      <c r="V197" s="1247">
        <f t="shared" si="134"/>
        <v>71964.520673438325</v>
      </c>
      <c r="W197" s="1260">
        <f t="shared" si="135"/>
        <v>0.37688115895069452</v>
      </c>
      <c r="X197" s="473">
        <f t="shared" si="143"/>
        <v>22995.073710230357</v>
      </c>
      <c r="Y197" s="474">
        <f t="shared" si="144"/>
        <v>21509.336630014866</v>
      </c>
      <c r="Z197" s="116">
        <f t="shared" si="145"/>
        <v>4238.9971068567629</v>
      </c>
      <c r="AA197" s="116">
        <f t="shared" si="146"/>
        <v>0</v>
      </c>
      <c r="AB197" s="116">
        <f t="shared" si="147"/>
        <v>23221.113226336343</v>
      </c>
      <c r="AC197" s="116">
        <f t="shared" si="148"/>
        <v>71964.520673438325</v>
      </c>
      <c r="AD197" s="475">
        <f t="shared" si="149"/>
        <v>9307.1320407072781</v>
      </c>
      <c r="AE197" s="579">
        <f t="shared" si="150"/>
        <v>0.31953347976258673</v>
      </c>
      <c r="AF197" s="100">
        <f t="shared" si="151"/>
        <v>0.2988880691309021</v>
      </c>
      <c r="AG197" s="100">
        <f t="shared" si="152"/>
        <v>5.8903985841753152E-2</v>
      </c>
      <c r="AH197" s="100">
        <f t="shared" si="165"/>
        <v>0</v>
      </c>
      <c r="AI197" s="100">
        <f t="shared" si="153"/>
        <v>0.32267446526475813</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6601.8179471225203</v>
      </c>
      <c r="D198" s="475">
        <f>'Input data'!E138</f>
        <v>36655559.518641047</v>
      </c>
      <c r="E198" s="473">
        <f>'Input data'!J138*C198</f>
        <v>79426.772941745454</v>
      </c>
      <c r="F198" s="474">
        <f>'Input data'!L138</f>
        <v>116082.3324603865</v>
      </c>
      <c r="G198" s="474">
        <f t="shared" si="171"/>
        <v>13687.941669523079</v>
      </c>
      <c r="H198" s="474">
        <f t="shared" si="160"/>
        <v>66287.198865709492</v>
      </c>
      <c r="I198" s="475">
        <f t="shared" si="136"/>
        <v>36655.55951864105</v>
      </c>
      <c r="J198" s="100">
        <f t="shared" si="170"/>
        <v>0.4</v>
      </c>
      <c r="K198" s="474">
        <f t="shared" si="162"/>
        <v>12406.157012143547</v>
      </c>
      <c r="L198" s="474">
        <f t="shared" si="137"/>
        <v>0</v>
      </c>
      <c r="M198" s="475">
        <f t="shared" si="163"/>
        <v>12406.157012143547</v>
      </c>
      <c r="N198" s="579">
        <f t="shared" si="169"/>
        <v>0.5</v>
      </c>
      <c r="O198" s="475">
        <f t="shared" si="138"/>
        <v>751.91700000000026</v>
      </c>
      <c r="P198" s="1043">
        <f t="shared" si="166"/>
        <v>13158.074012143546</v>
      </c>
      <c r="Q198" s="467">
        <f t="shared" si="139"/>
        <v>66817.066523089015</v>
      </c>
      <c r="R198" s="467">
        <f t="shared" si="164"/>
        <v>53129.12485356594</v>
      </c>
      <c r="S198" s="518">
        <f t="shared" si="140"/>
        <v>1.1852901106450466</v>
      </c>
      <c r="T198" s="118" t="str">
        <f t="shared" si="141"/>
        <v>No</v>
      </c>
      <c r="U198" s="1259">
        <f t="shared" si="142"/>
        <v>1</v>
      </c>
      <c r="V198" s="1247">
        <f t="shared" si="134"/>
        <v>71258.601648482116</v>
      </c>
      <c r="W198" s="1260">
        <f t="shared" si="135"/>
        <v>0.38613740663076912</v>
      </c>
      <c r="X198" s="473">
        <f t="shared" si="143"/>
        <v>21993.335711184631</v>
      </c>
      <c r="Y198" s="474">
        <f t="shared" si="144"/>
        <v>21022.572146631192</v>
      </c>
      <c r="Z198" s="116">
        <f t="shared" si="145"/>
        <v>4341.1729138260207</v>
      </c>
      <c r="AA198" s="116">
        <f t="shared" si="146"/>
        <v>0</v>
      </c>
      <c r="AB198" s="116">
        <f t="shared" si="147"/>
        <v>23901.520876840281</v>
      </c>
      <c r="AC198" s="116">
        <f t="shared" si="148"/>
        <v>71258.601648482116</v>
      </c>
      <c r="AD198" s="475">
        <f t="shared" si="149"/>
        <v>8305.3940416615515</v>
      </c>
      <c r="AE198" s="579">
        <f t="shared" si="150"/>
        <v>0.30864113527904335</v>
      </c>
      <c r="AF198" s="100">
        <f t="shared" si="151"/>
        <v>0.29501802814396083</v>
      </c>
      <c r="AG198" s="100">
        <f t="shared" si="152"/>
        <v>6.0921387922274674E-2</v>
      </c>
      <c r="AH198" s="100">
        <f t="shared" si="165"/>
        <v>0</v>
      </c>
      <c r="AI198" s="100">
        <f t="shared" si="153"/>
        <v>0.33541944865472123</v>
      </c>
      <c r="AJ198" s="100">
        <f t="shared" si="154"/>
        <v>1</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6791.0078131349956</v>
      </c>
      <c r="D199" s="475">
        <f>'Input data'!E139</f>
        <v>34985996.186898179</v>
      </c>
      <c r="E199" s="473">
        <f>'Input data'!J139*C199</f>
        <v>81702.924851872231</v>
      </c>
      <c r="F199" s="474">
        <f>'Input data'!L139</f>
        <v>116688.92103877041</v>
      </c>
      <c r="G199" s="474">
        <f t="shared" si="171"/>
        <v>13687.941669523079</v>
      </c>
      <c r="H199" s="474">
        <f t="shared" si="160"/>
        <v>66026.465553116155</v>
      </c>
      <c r="I199" s="475">
        <f t="shared" si="136"/>
        <v>34985.996186898177</v>
      </c>
      <c r="J199" s="100">
        <f t="shared" si="170"/>
        <v>0.4</v>
      </c>
      <c r="K199" s="474">
        <f t="shared" si="162"/>
        <v>11841.089526956583</v>
      </c>
      <c r="L199" s="474">
        <f t="shared" si="137"/>
        <v>0</v>
      </c>
      <c r="M199" s="475">
        <f t="shared" si="163"/>
        <v>11841.089526956583</v>
      </c>
      <c r="N199" s="579">
        <f t="shared" si="169"/>
        <v>0.5</v>
      </c>
      <c r="O199" s="475">
        <f t="shared" si="138"/>
        <v>751.91700000000026</v>
      </c>
      <c r="P199" s="1043">
        <f t="shared" si="166"/>
        <v>12593.006526956582</v>
      </c>
      <c r="Q199" s="467">
        <f t="shared" si="139"/>
        <v>67121.400695682649</v>
      </c>
      <c r="R199" s="467">
        <f t="shared" si="164"/>
        <v>53433.459026159573</v>
      </c>
      <c r="S199" s="518">
        <f t="shared" si="140"/>
        <v>1.1583283597638887</v>
      </c>
      <c r="T199" s="118" t="str">
        <f t="shared" si="141"/>
        <v>No</v>
      </c>
      <c r="U199" s="1259">
        <f t="shared" si="142"/>
        <v>1</v>
      </c>
      <c r="V199" s="1247">
        <f t="shared" si="134"/>
        <v>70559.118055226674</v>
      </c>
      <c r="W199" s="1260">
        <f t="shared" si="135"/>
        <v>0.39532290274769877</v>
      </c>
      <c r="X199" s="473">
        <f t="shared" si="143"/>
        <v>20991.597712138904</v>
      </c>
      <c r="Y199" s="474">
        <f t="shared" si="144"/>
        <v>20537.016827999734</v>
      </c>
      <c r="Z199" s="116">
        <f t="shared" si="145"/>
        <v>4444.0310736329275</v>
      </c>
      <c r="AA199" s="116">
        <f t="shared" si="146"/>
        <v>0</v>
      </c>
      <c r="AB199" s="116">
        <f t="shared" si="147"/>
        <v>24586.472441455106</v>
      </c>
      <c r="AC199" s="116">
        <f t="shared" si="148"/>
        <v>70559.118055226674</v>
      </c>
      <c r="AD199" s="475">
        <f t="shared" si="149"/>
        <v>7303.6560426158248</v>
      </c>
      <c r="AE199" s="579">
        <f t="shared" si="150"/>
        <v>0.29750368613888806</v>
      </c>
      <c r="AF199" s="100">
        <f t="shared" si="151"/>
        <v>0.29106113276423601</v>
      </c>
      <c r="AG199" s="100">
        <f t="shared" si="152"/>
        <v>6.2983087035676677E-2</v>
      </c>
      <c r="AH199" s="100">
        <f t="shared" si="165"/>
        <v>0</v>
      </c>
      <c r="AI199" s="100">
        <f t="shared" si="153"/>
        <v>0.3484520940611992</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6984.5262976576987</v>
      </c>
      <c r="D200" s="475">
        <f>'Input data'!E140</f>
        <v>33316432.855155304</v>
      </c>
      <c r="E200" s="473">
        <f>'Input data'!J140*C200</f>
        <v>84031.154568796614</v>
      </c>
      <c r="F200" s="474">
        <f>'Input data'!L140</f>
        <v>117347.58742395192</v>
      </c>
      <c r="G200" s="474">
        <f t="shared" si="171"/>
        <v>13687.941669523079</v>
      </c>
      <c r="H200" s="474">
        <f t="shared" si="160"/>
        <v>65795.614856843706</v>
      </c>
      <c r="I200" s="475">
        <f t="shared" si="136"/>
        <v>33316.432855155304</v>
      </c>
      <c r="J200" s="100">
        <f t="shared" si="170"/>
        <v>0.4</v>
      </c>
      <c r="K200" s="474">
        <f t="shared" si="162"/>
        <v>11276.02204176962</v>
      </c>
      <c r="L200" s="474">
        <f t="shared" si="137"/>
        <v>0</v>
      </c>
      <c r="M200" s="475">
        <f t="shared" si="163"/>
        <v>11276.02204176962</v>
      </c>
      <c r="N200" s="579">
        <f t="shared" si="169"/>
        <v>0.5</v>
      </c>
      <c r="O200" s="475">
        <f t="shared" si="138"/>
        <v>751.91700000000026</v>
      </c>
      <c r="P200" s="1043">
        <f t="shared" si="166"/>
        <v>12027.93904176962</v>
      </c>
      <c r="Q200" s="467">
        <f t="shared" si="139"/>
        <v>67455.617484597169</v>
      </c>
      <c r="R200" s="467">
        <f t="shared" si="164"/>
        <v>53767.675815074093</v>
      </c>
      <c r="S200" s="518">
        <f t="shared" si="140"/>
        <v>1.132767669567333</v>
      </c>
      <c r="T200" s="118" t="str">
        <f t="shared" si="141"/>
        <v>No</v>
      </c>
      <c r="U200" s="1259">
        <f t="shared" si="142"/>
        <v>1</v>
      </c>
      <c r="V200" s="1247">
        <f t="shared" si="134"/>
        <v>69881.829652447952</v>
      </c>
      <c r="W200" s="1260">
        <f t="shared" si="135"/>
        <v>0.4044885695009669</v>
      </c>
      <c r="X200" s="473">
        <f t="shared" si="143"/>
        <v>19989.859713093181</v>
      </c>
      <c r="Y200" s="474">
        <f t="shared" si="144"/>
        <v>20055.63180333472</v>
      </c>
      <c r="Z200" s="116">
        <f t="shared" si="145"/>
        <v>4549.242603331425</v>
      </c>
      <c r="AA200" s="116">
        <f t="shared" si="146"/>
        <v>0</v>
      </c>
      <c r="AB200" s="116">
        <f t="shared" si="147"/>
        <v>25287.095532688621</v>
      </c>
      <c r="AC200" s="116">
        <f t="shared" si="148"/>
        <v>69881.829652447952</v>
      </c>
      <c r="AD200" s="475">
        <f t="shared" si="149"/>
        <v>6301.9180435701019</v>
      </c>
      <c r="AE200" s="579">
        <f t="shared" si="150"/>
        <v>0.28605232307899281</v>
      </c>
      <c r="AF200" s="100">
        <f t="shared" si="151"/>
        <v>0.28699351323627192</v>
      </c>
      <c r="AG200" s="100">
        <f t="shared" si="152"/>
        <v>6.5099076912507048E-2</v>
      </c>
      <c r="AH200" s="100">
        <f t="shared" si="165"/>
        <v>0</v>
      </c>
      <c r="AI200" s="100">
        <f t="shared" si="153"/>
        <v>0.36185508677222816</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7185.3982187188903</v>
      </c>
      <c r="D201" s="475">
        <f>'Input data'!E141</f>
        <v>30696987.018642712</v>
      </c>
      <c r="E201" s="473">
        <f>'Input data'!J141*C201</f>
        <v>86447.853816229443</v>
      </c>
      <c r="F201" s="474">
        <f>'Input data'!L141</f>
        <v>117144.84083487216</v>
      </c>
      <c r="G201" s="474">
        <f t="shared" si="171"/>
        <v>13687.941669523079</v>
      </c>
      <c r="H201" s="474">
        <f t="shared" si="160"/>
        <v>64724.109222386993</v>
      </c>
      <c r="I201" s="475">
        <f t="shared" si="136"/>
        <v>30696.987018642711</v>
      </c>
      <c r="J201" s="100">
        <f t="shared" si="170"/>
        <v>0.4</v>
      </c>
      <c r="K201" s="474">
        <f t="shared" si="162"/>
        <v>10389.464674774455</v>
      </c>
      <c r="L201" s="474">
        <f t="shared" si="137"/>
        <v>0</v>
      </c>
      <c r="M201" s="475">
        <f t="shared" si="163"/>
        <v>10389.464674774455</v>
      </c>
      <c r="N201" s="579">
        <f t="shared" si="169"/>
        <v>0.5</v>
      </c>
      <c r="O201" s="475">
        <f t="shared" si="138"/>
        <v>751.91700000000026</v>
      </c>
      <c r="P201" s="1043">
        <f t="shared" si="166"/>
        <v>11141.381674774455</v>
      </c>
      <c r="Q201" s="467">
        <f t="shared" si="139"/>
        <v>67270.669217135612</v>
      </c>
      <c r="R201" s="467">
        <f t="shared" si="164"/>
        <v>53582.727547612536</v>
      </c>
      <c r="S201" s="518">
        <f t="shared" si="140"/>
        <v>1.0968272405324797</v>
      </c>
      <c r="T201" s="118" t="str">
        <f t="shared" si="141"/>
        <v>No</v>
      </c>
      <c r="U201" s="1259">
        <f t="shared" si="142"/>
        <v>1</v>
      </c>
      <c r="V201" s="1247">
        <f t="shared" si="134"/>
        <v>68292.363828922185</v>
      </c>
      <c r="W201" s="1260">
        <f t="shared" si="135"/>
        <v>0.41702627838995165</v>
      </c>
      <c r="X201" s="473">
        <f t="shared" si="143"/>
        <v>18418.192211185626</v>
      </c>
      <c r="Y201" s="474">
        <f t="shared" si="144"/>
        <v>19201.378252318307</v>
      </c>
      <c r="Z201" s="116">
        <f t="shared" si="145"/>
        <v>4658.452026609255</v>
      </c>
      <c r="AA201" s="116">
        <f t="shared" si="146"/>
        <v>0</v>
      </c>
      <c r="AB201" s="116">
        <f t="shared" si="147"/>
        <v>26014.341338808998</v>
      </c>
      <c r="AC201" s="116">
        <f t="shared" si="148"/>
        <v>68292.363828922185</v>
      </c>
      <c r="AD201" s="475">
        <f t="shared" si="149"/>
        <v>4730.2505416625463</v>
      </c>
      <c r="AE201" s="579">
        <f t="shared" si="150"/>
        <v>0.26969621753501849</v>
      </c>
      <c r="AF201" s="100">
        <f t="shared" si="151"/>
        <v>0.2811643524365226</v>
      </c>
      <c r="AG201" s="100">
        <f t="shared" si="152"/>
        <v>6.8213366259792213E-2</v>
      </c>
      <c r="AH201" s="100">
        <f t="shared" si="165"/>
        <v>0</v>
      </c>
      <c r="AI201" s="100">
        <f t="shared" si="153"/>
        <v>0.38092606376866667</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7378.5415978844649</v>
      </c>
      <c r="D202" s="475">
        <f>'Input data'!E142</f>
        <v>28077541.182130113</v>
      </c>
      <c r="E202" s="473">
        <f>'Input data'!J142*C202</f>
        <v>88771.570623487351</v>
      </c>
      <c r="F202" s="474">
        <f>'Input data'!L142</f>
        <v>116849.11180561746</v>
      </c>
      <c r="G202" s="474">
        <f t="shared" si="171"/>
        <v>13687.941669523079</v>
      </c>
      <c r="H202" s="474">
        <f t="shared" si="160"/>
        <v>63599.249601747128</v>
      </c>
      <c r="I202" s="475">
        <f t="shared" si="136"/>
        <v>28077.541182130113</v>
      </c>
      <c r="J202" s="100">
        <f t="shared" si="170"/>
        <v>0.4</v>
      </c>
      <c r="K202" s="474">
        <f t="shared" si="162"/>
        <v>9502.9073077792909</v>
      </c>
      <c r="L202" s="474">
        <f t="shared" si="137"/>
        <v>0</v>
      </c>
      <c r="M202" s="475">
        <f t="shared" si="163"/>
        <v>9502.9073077792909</v>
      </c>
      <c r="N202" s="579">
        <f t="shared" si="169"/>
        <v>0.5</v>
      </c>
      <c r="O202" s="475">
        <f t="shared" si="138"/>
        <v>751.91700000000026</v>
      </c>
      <c r="P202" s="1043">
        <f t="shared" si="166"/>
        <v>10254.82430777929</v>
      </c>
      <c r="Q202" s="467">
        <f t="shared" si="139"/>
        <v>67032.366963490917</v>
      </c>
      <c r="R202" s="467">
        <f t="shared" si="164"/>
        <v>53344.425293967841</v>
      </c>
      <c r="S202" s="518">
        <f t="shared" si="140"/>
        <v>1.0629377309990218</v>
      </c>
      <c r="T202" s="118" t="str">
        <f t="shared" si="141"/>
        <v>No</v>
      </c>
      <c r="U202" s="1259">
        <f t="shared" si="142"/>
        <v>1</v>
      </c>
      <c r="V202" s="1247">
        <f t="shared" si="134"/>
        <v>66663.269551404621</v>
      </c>
      <c r="W202" s="1260">
        <f t="shared" si="135"/>
        <v>0.42949271482438589</v>
      </c>
      <c r="X202" s="473">
        <f t="shared" si="143"/>
        <v>16846.524709278066</v>
      </c>
      <c r="Y202" s="474">
        <f t="shared" si="144"/>
        <v>18339.678840327881</v>
      </c>
      <c r="Z202" s="116">
        <f t="shared" si="145"/>
        <v>4763.4596201901322</v>
      </c>
      <c r="AA202" s="116">
        <f t="shared" si="146"/>
        <v>0</v>
      </c>
      <c r="AB202" s="116">
        <f t="shared" si="147"/>
        <v>26713.606381608544</v>
      </c>
      <c r="AC202" s="116">
        <f t="shared" si="148"/>
        <v>66663.269551404621</v>
      </c>
      <c r="AD202" s="475">
        <f t="shared" si="149"/>
        <v>3158.5830397549871</v>
      </c>
      <c r="AE202" s="579">
        <f t="shared" si="150"/>
        <v>0.25271074795225229</v>
      </c>
      <c r="AF202" s="100">
        <f t="shared" si="151"/>
        <v>0.27510920126991367</v>
      </c>
      <c r="AG202" s="100">
        <f t="shared" si="152"/>
        <v>7.1455535443202156E-2</v>
      </c>
      <c r="AH202" s="100">
        <f t="shared" si="165"/>
        <v>0</v>
      </c>
      <c r="AI202" s="100">
        <f t="shared" si="153"/>
        <v>0.40072451533463194</v>
      </c>
      <c r="AJ202" s="100">
        <f t="shared" si="154"/>
        <v>1</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7577.166622606117</v>
      </c>
      <c r="D203" s="475">
        <f>'Input data'!E143</f>
        <v>25458095.345617522</v>
      </c>
      <c r="E203" s="473">
        <f>'Input data'!J143*C203</f>
        <v>91161.237358540457</v>
      </c>
      <c r="F203" s="474">
        <f>'Input data'!L143</f>
        <v>116619.33270415798</v>
      </c>
      <c r="G203" s="474">
        <f t="shared" si="171"/>
        <v>13687.941669523079</v>
      </c>
      <c r="H203" s="474">
        <f t="shared" si="160"/>
        <v>62512.232519222482</v>
      </c>
      <c r="I203" s="475">
        <f t="shared" si="136"/>
        <v>25458.095345617523</v>
      </c>
      <c r="J203" s="100">
        <f t="shared" si="170"/>
        <v>0.4</v>
      </c>
      <c r="K203" s="474">
        <f t="shared" si="162"/>
        <v>8616.3499407841264</v>
      </c>
      <c r="L203" s="474">
        <f t="shared" si="137"/>
        <v>0</v>
      </c>
      <c r="M203" s="475">
        <f t="shared" si="163"/>
        <v>8616.3499407841264</v>
      </c>
      <c r="N203" s="579">
        <f t="shared" si="169"/>
        <v>0.5</v>
      </c>
      <c r="O203" s="475">
        <f t="shared" si="138"/>
        <v>751.91700000000026</v>
      </c>
      <c r="P203" s="1043">
        <f t="shared" si="166"/>
        <v>9368.2669407841258</v>
      </c>
      <c r="Q203" s="467">
        <f t="shared" si="139"/>
        <v>66831.907247961426</v>
      </c>
      <c r="R203" s="467">
        <f t="shared" si="164"/>
        <v>53143.96557843835</v>
      </c>
      <c r="S203" s="518">
        <f t="shared" si="140"/>
        <v>1.0307797970713619</v>
      </c>
      <c r="T203" s="118" t="str">
        <f t="shared" si="141"/>
        <v>No</v>
      </c>
      <c r="U203" s="1259">
        <f t="shared" si="142"/>
        <v>1</v>
      </c>
      <c r="V203" s="1247">
        <f t="shared" si="134"/>
        <v>65062.282663567079</v>
      </c>
      <c r="W203" s="1260">
        <f t="shared" si="135"/>
        <v>0.44209693920459781</v>
      </c>
      <c r="X203" s="473">
        <f t="shared" si="143"/>
        <v>15274.857207370513</v>
      </c>
      <c r="Y203" s="474">
        <f t="shared" si="144"/>
        <v>17483.260575967972</v>
      </c>
      <c r="Z203" s="116">
        <f t="shared" si="145"/>
        <v>4871.4474578321506</v>
      </c>
      <c r="AA203" s="116">
        <f t="shared" si="146"/>
        <v>0</v>
      </c>
      <c r="AB203" s="116">
        <f t="shared" si="147"/>
        <v>27432.717422396443</v>
      </c>
      <c r="AC203" s="116">
        <f t="shared" si="148"/>
        <v>65062.282663567079</v>
      </c>
      <c r="AD203" s="475">
        <f t="shared" si="149"/>
        <v>1586.9155378474334</v>
      </c>
      <c r="AE203" s="579">
        <f t="shared" si="150"/>
        <v>0.23477284506533266</v>
      </c>
      <c r="AF203" s="100">
        <f t="shared" si="151"/>
        <v>0.26871575758220473</v>
      </c>
      <c r="AG203" s="100">
        <f t="shared" si="152"/>
        <v>7.4873602007204318E-2</v>
      </c>
      <c r="AH203" s="100">
        <f t="shared" si="165"/>
        <v>0</v>
      </c>
      <c r="AI203" s="100">
        <f t="shared" si="153"/>
        <v>0.4216377953452583</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7783.6023406905715</v>
      </c>
      <c r="D204" s="475">
        <f>'Input data'!E144</f>
        <v>22838649.509104934</v>
      </c>
      <c r="E204" s="473">
        <f>'Input data'!J144*C204</f>
        <v>93644.874901818475</v>
      </c>
      <c r="F204" s="474">
        <f>'Input data'!L144</f>
        <v>116483.5244109234</v>
      </c>
      <c r="G204" s="474">
        <f t="shared" si="171"/>
        <v>13687.941669523079</v>
      </c>
      <c r="H204" s="474">
        <f t="shared" si="160"/>
        <v>61479.136555504956</v>
      </c>
      <c r="I204" s="475">
        <f t="shared" si="136"/>
        <v>22838.649509104933</v>
      </c>
      <c r="J204" s="100">
        <f t="shared" si="170"/>
        <v>0.4</v>
      </c>
      <c r="K204" s="474">
        <f t="shared" si="162"/>
        <v>7729.7925737889636</v>
      </c>
      <c r="L204" s="474">
        <f t="shared" si="137"/>
        <v>0</v>
      </c>
      <c r="M204" s="475">
        <f t="shared" si="163"/>
        <v>7729.7925737889636</v>
      </c>
      <c r="N204" s="579">
        <f t="shared" si="169"/>
        <v>0.5</v>
      </c>
      <c r="O204" s="475">
        <f t="shared" si="138"/>
        <v>751.91700000000026</v>
      </c>
      <c r="P204" s="1043">
        <f t="shared" si="166"/>
        <v>8481.7095737889631</v>
      </c>
      <c r="Q204" s="467">
        <f t="shared" si="139"/>
        <v>66685.36865123907</v>
      </c>
      <c r="R204" s="467">
        <f t="shared" si="164"/>
        <v>52997.426981715995</v>
      </c>
      <c r="S204" s="518">
        <f t="shared" si="140"/>
        <v>1.000287795561513</v>
      </c>
      <c r="T204" s="118" t="str">
        <f t="shared" si="141"/>
        <v>No</v>
      </c>
      <c r="U204" s="1259">
        <f t="shared" si="142"/>
        <v>1</v>
      </c>
      <c r="V204" s="1247">
        <f t="shared" si="134"/>
        <v>63501.345465147315</v>
      </c>
      <c r="W204" s="1260">
        <f t="shared" si="135"/>
        <v>0.45484697697563492</v>
      </c>
      <c r="X204" s="473">
        <f t="shared" si="143"/>
        <v>13703.189705462959</v>
      </c>
      <c r="Y204" s="474">
        <f t="shared" si="144"/>
        <v>16634.367319258348</v>
      </c>
      <c r="Z204" s="116">
        <f t="shared" si="145"/>
        <v>4983.6817890261063</v>
      </c>
      <c r="AA204" s="116">
        <f t="shared" si="146"/>
        <v>0</v>
      </c>
      <c r="AB204" s="116">
        <f t="shared" si="147"/>
        <v>28180.106651399903</v>
      </c>
      <c r="AC204" s="116">
        <f t="shared" si="148"/>
        <v>63501.345465147315</v>
      </c>
      <c r="AD204" s="475">
        <f t="shared" si="149"/>
        <v>15.248035939879628</v>
      </c>
      <c r="AE204" s="579">
        <f t="shared" si="150"/>
        <v>0.21579369074918181</v>
      </c>
      <c r="AF204" s="100">
        <f t="shared" si="151"/>
        <v>0.26195299008881812</v>
      </c>
      <c r="AG204" s="100">
        <f t="shared" si="152"/>
        <v>7.8481514880049244E-2</v>
      </c>
      <c r="AH204" s="100">
        <f t="shared" si="165"/>
        <v>0</v>
      </c>
      <c r="AI204" s="100">
        <f t="shared" si="153"/>
        <v>0.4437718042819509</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7997.9247065980107</v>
      </c>
      <c r="D205" s="475">
        <f>'Input data'!E145</f>
        <v>20219203.672592338</v>
      </c>
      <c r="E205" s="473">
        <f>'Input data'!J145*C205</f>
        <v>96223.397064897435</v>
      </c>
      <c r="F205" s="474">
        <f>'Input data'!L145</f>
        <v>116442.60073748977</v>
      </c>
      <c r="G205" s="474">
        <f t="shared" si="171"/>
        <v>13687.941669523079</v>
      </c>
      <c r="H205" s="474">
        <f t="shared" si="160"/>
        <v>60500.486062182972</v>
      </c>
      <c r="I205" s="475">
        <f t="shared" si="136"/>
        <v>20219.203672592339</v>
      </c>
      <c r="J205" s="100">
        <f t="shared" si="170"/>
        <v>0.4</v>
      </c>
      <c r="K205" s="474">
        <f t="shared" si="162"/>
        <v>6843.2352067937991</v>
      </c>
      <c r="L205" s="474">
        <f t="shared" si="137"/>
        <v>0</v>
      </c>
      <c r="M205" s="475">
        <f t="shared" si="163"/>
        <v>6843.2352067937991</v>
      </c>
      <c r="N205" s="579">
        <f t="shared" si="169"/>
        <v>0.5</v>
      </c>
      <c r="O205" s="475">
        <f t="shared" si="138"/>
        <v>751.91700000000026</v>
      </c>
      <c r="P205" s="1043">
        <f t="shared" si="166"/>
        <v>7595.1522067937995</v>
      </c>
      <c r="Q205" s="467">
        <f t="shared" si="139"/>
        <v>66593.275524912242</v>
      </c>
      <c r="R205" s="467">
        <f t="shared" si="164"/>
        <v>52905.333855389166</v>
      </c>
      <c r="S205" s="518">
        <f t="shared" si="140"/>
        <v>0.97142178921813505</v>
      </c>
      <c r="T205" s="118" t="str">
        <f t="shared" si="141"/>
        <v>Yes</v>
      </c>
      <c r="U205" s="1259">
        <f t="shared" si="142"/>
        <v>0.97142178921813505</v>
      </c>
      <c r="V205" s="1247">
        <f t="shared" si="134"/>
        <v>63537.266882100608</v>
      </c>
      <c r="W205" s="1260">
        <f t="shared" si="135"/>
        <v>0.45434689297828268</v>
      </c>
      <c r="X205" s="473">
        <f t="shared" si="143"/>
        <v>13687.941669523074</v>
      </c>
      <c r="Y205" s="474">
        <f t="shared" si="144"/>
        <v>15793.072246531434</v>
      </c>
      <c r="Z205" s="116">
        <f t="shared" si="145"/>
        <v>5100.203908457429</v>
      </c>
      <c r="AA205" s="116">
        <f t="shared" si="146"/>
        <v>0</v>
      </c>
      <c r="AB205" s="116">
        <f t="shared" si="147"/>
        <v>28956.049057588672</v>
      </c>
      <c r="AC205" s="116">
        <f t="shared" si="148"/>
        <v>63537.266882100608</v>
      </c>
      <c r="AD205" s="475">
        <f t="shared" si="149"/>
        <v>0</v>
      </c>
      <c r="AE205" s="579">
        <f t="shared" si="150"/>
        <v>0.2154317039623744</v>
      </c>
      <c r="AF205" s="100">
        <f t="shared" si="151"/>
        <v>0.24856392195523563</v>
      </c>
      <c r="AG205" s="100">
        <f t="shared" si="152"/>
        <v>8.0271062303031354E-2</v>
      </c>
      <c r="AH205" s="100">
        <f t="shared" si="165"/>
        <v>0</v>
      </c>
      <c r="AI205" s="100">
        <f t="shared" si="153"/>
        <v>0.45573331177935861</v>
      </c>
      <c r="AJ205" s="100">
        <f t="shared" si="154"/>
        <v>1</v>
      </c>
      <c r="AK205" s="1250">
        <f t="shared" si="155"/>
        <v>12131.522203555402</v>
      </c>
      <c r="AL205" s="1251">
        <f t="shared" si="156"/>
        <v>1467.6514144835435</v>
      </c>
      <c r="AM205" s="1251">
        <f t="shared" si="157"/>
        <v>88.76805148412582</v>
      </c>
      <c r="AN205" s="1251">
        <f t="shared" si="158"/>
        <v>13687.94166952307</v>
      </c>
      <c r="AO205" s="1022">
        <f t="shared" si="159"/>
        <v>0</v>
      </c>
    </row>
    <row r="206" spans="1:41">
      <c r="A206" s="89">
        <f>'Input data'!A146</f>
        <v>2046</v>
      </c>
      <c r="B206" s="152">
        <f>'Input data'!B146</f>
        <v>73.995362001779526</v>
      </c>
      <c r="C206" s="204">
        <f>'Input data'!C146</f>
        <v>8212.8506709212088</v>
      </c>
      <c r="D206" s="475">
        <f>'Input data'!E146</f>
        <v>16217597.669678843</v>
      </c>
      <c r="E206" s="473">
        <f>'Input data'!J146*C206</f>
        <v>98809.181148056668</v>
      </c>
      <c r="F206" s="474">
        <f>'Input data'!L146</f>
        <v>115026.77881773551</v>
      </c>
      <c r="G206" s="474">
        <f t="shared" si="171"/>
        <v>13687.941669523079</v>
      </c>
      <c r="H206" s="474">
        <f t="shared" si="160"/>
        <v>58228.911176523427</v>
      </c>
      <c r="I206" s="475">
        <f t="shared" si="136"/>
        <v>16217.597669678842</v>
      </c>
      <c r="J206" s="100">
        <f t="shared" si="170"/>
        <v>0.4</v>
      </c>
      <c r="K206" s="474">
        <f t="shared" si="162"/>
        <v>5488.8826058565683</v>
      </c>
      <c r="L206" s="474">
        <f t="shared" si="137"/>
        <v>0</v>
      </c>
      <c r="M206" s="475">
        <f t="shared" si="163"/>
        <v>5488.8826058565683</v>
      </c>
      <c r="N206" s="579">
        <f t="shared" si="169"/>
        <v>0.5</v>
      </c>
      <c r="O206" s="475">
        <f t="shared" si="138"/>
        <v>751.91700000000026</v>
      </c>
      <c r="P206" s="1043">
        <f t="shared" si="166"/>
        <v>6240.7996058565686</v>
      </c>
      <c r="Q206" s="467">
        <f t="shared" si="139"/>
        <v>65676.05324018994</v>
      </c>
      <c r="R206" s="467">
        <f t="shared" si="164"/>
        <v>51988.111570666864</v>
      </c>
      <c r="S206" s="518">
        <f t="shared" si="140"/>
        <v>0.92926359676868919</v>
      </c>
      <c r="T206" s="118" t="str">
        <f t="shared" si="141"/>
        <v>Yes</v>
      </c>
      <c r="U206" s="1259">
        <f t="shared" si="142"/>
        <v>0.92926359676868919</v>
      </c>
      <c r="V206" s="1247">
        <f t="shared" si="134"/>
        <v>63038.667247068661</v>
      </c>
      <c r="W206" s="1260">
        <f t="shared" si="135"/>
        <v>0.45196529108273187</v>
      </c>
      <c r="X206" s="473">
        <f t="shared" si="143"/>
        <v>13687.941669523076</v>
      </c>
      <c r="Y206" s="474">
        <f t="shared" si="144"/>
        <v>14399.494628305772</v>
      </c>
      <c r="Z206" s="116">
        <f t="shared" si="145"/>
        <v>5217.0541904040911</v>
      </c>
      <c r="AA206" s="116">
        <f t="shared" si="146"/>
        <v>0</v>
      </c>
      <c r="AB206" s="116">
        <f t="shared" si="147"/>
        <v>29734.176758835722</v>
      </c>
      <c r="AC206" s="116">
        <f t="shared" si="148"/>
        <v>63038.667247068661</v>
      </c>
      <c r="AD206" s="475">
        <f t="shared" si="149"/>
        <v>0</v>
      </c>
      <c r="AE206" s="579">
        <f t="shared" si="150"/>
        <v>0.21713564495067231</v>
      </c>
      <c r="AF206" s="100">
        <f t="shared" si="151"/>
        <v>0.2284232084391879</v>
      </c>
      <c r="AG206" s="100">
        <f t="shared" si="152"/>
        <v>8.2759588967145997E-2</v>
      </c>
      <c r="AH206" s="100">
        <f t="shared" si="165"/>
        <v>0</v>
      </c>
      <c r="AI206" s="100">
        <f t="shared" si="153"/>
        <v>0.4716815576429938</v>
      </c>
      <c r="AJ206" s="100">
        <f t="shared" si="154"/>
        <v>1</v>
      </c>
      <c r="AK206" s="1250">
        <f t="shared" si="155"/>
        <v>9730.5586018073045</v>
      </c>
      <c r="AL206" s="1251">
        <f t="shared" si="156"/>
        <v>3730.3318704696585</v>
      </c>
      <c r="AM206" s="1251">
        <f t="shared" si="157"/>
        <v>227.05119724611177</v>
      </c>
      <c r="AN206" s="1251">
        <f t="shared" si="158"/>
        <v>13687.941669523074</v>
      </c>
      <c r="AO206" s="1022">
        <f t="shared" si="159"/>
        <v>0</v>
      </c>
    </row>
    <row r="207" spans="1:41">
      <c r="A207" s="89">
        <f>'Input data'!A147</f>
        <v>2047</v>
      </c>
      <c r="B207" s="152">
        <f>'Input data'!B147</f>
        <v>74.373096484110363</v>
      </c>
      <c r="C207" s="204">
        <f>'Input data'!C147</f>
        <v>8261.0803168727289</v>
      </c>
      <c r="D207" s="475">
        <f>'Input data'!E147</f>
        <v>12215991.666765345</v>
      </c>
      <c r="E207" s="473">
        <f>'Input data'!J147*C207</f>
        <v>99389.434219064453</v>
      </c>
      <c r="F207" s="474">
        <f>'Input data'!L147</f>
        <v>111605.4258858298</v>
      </c>
      <c r="G207" s="474">
        <f t="shared" si="171"/>
        <v>13687.941669523079</v>
      </c>
      <c r="H207" s="474">
        <f t="shared" si="160"/>
        <v>54806.548317233057</v>
      </c>
      <c r="I207" s="475">
        <f t="shared" si="136"/>
        <v>12215.991666765345</v>
      </c>
      <c r="J207" s="100">
        <f t="shared" si="170"/>
        <v>0.4</v>
      </c>
      <c r="K207" s="474">
        <f t="shared" si="162"/>
        <v>4134.5300049193374</v>
      </c>
      <c r="L207" s="474">
        <f t="shared" si="137"/>
        <v>0</v>
      </c>
      <c r="M207" s="475">
        <f t="shared" si="163"/>
        <v>4134.5300049193374</v>
      </c>
      <c r="N207" s="579">
        <f t="shared" si="169"/>
        <v>0.5</v>
      </c>
      <c r="O207" s="475">
        <f t="shared" si="138"/>
        <v>751.91700000000026</v>
      </c>
      <c r="P207" s="1043">
        <f t="shared" si="166"/>
        <v>4886.4470049193378</v>
      </c>
      <c r="Q207" s="467">
        <f t="shared" si="139"/>
        <v>63608.042981836792</v>
      </c>
      <c r="R207" s="467">
        <f t="shared" si="164"/>
        <v>49920.101312313709</v>
      </c>
      <c r="S207" s="518">
        <f t="shared" si="140"/>
        <v>0.88701986466430904</v>
      </c>
      <c r="T207" s="118" t="str">
        <f t="shared" si="141"/>
        <v>Yes</v>
      </c>
      <c r="U207" s="1259">
        <f t="shared" si="142"/>
        <v>0.88701986466430904</v>
      </c>
      <c r="V207" s="1247">
        <f t="shared" si="134"/>
        <v>61685.324573516089</v>
      </c>
      <c r="W207" s="1260">
        <f t="shared" si="135"/>
        <v>0.44729098891106789</v>
      </c>
      <c r="X207" s="473">
        <f t="shared" si="143"/>
        <v>13687.941669523083</v>
      </c>
      <c r="Y207" s="474">
        <f t="shared" si="144"/>
        <v>12845.317814495815</v>
      </c>
      <c r="Z207" s="116">
        <f t="shared" si="145"/>
        <v>5243.2755347882812</v>
      </c>
      <c r="AA207" s="116">
        <f t="shared" si="146"/>
        <v>0</v>
      </c>
      <c r="AB207" s="116">
        <f t="shared" si="147"/>
        <v>29908.789554708914</v>
      </c>
      <c r="AC207" s="116">
        <f t="shared" si="148"/>
        <v>61685.324573516089</v>
      </c>
      <c r="AD207" s="1240">
        <f t="shared" si="149"/>
        <v>0</v>
      </c>
      <c r="AE207" s="579">
        <f t="shared" si="150"/>
        <v>0.22189948361558673</v>
      </c>
      <c r="AF207" s="100">
        <f t="shared" si="151"/>
        <v>0.20823944598340996</v>
      </c>
      <c r="AG207" s="100">
        <f t="shared" si="152"/>
        <v>8.500037198538829E-2</v>
      </c>
      <c r="AH207" s="100">
        <f t="shared" si="165"/>
        <v>0</v>
      </c>
      <c r="AI207" s="100">
        <f t="shared" si="153"/>
        <v>0.48486069841561508</v>
      </c>
      <c r="AJ207" s="100">
        <f t="shared" si="154"/>
        <v>1</v>
      </c>
      <c r="AK207" s="1250">
        <f t="shared" si="155"/>
        <v>7329.5950000592056</v>
      </c>
      <c r="AL207" s="1251">
        <f t="shared" si="156"/>
        <v>5993.0721508985935</v>
      </c>
      <c r="AM207" s="1251">
        <f t="shared" si="157"/>
        <v>365.27451856528114</v>
      </c>
      <c r="AN207" s="1251">
        <f t="shared" si="158"/>
        <v>13687.941669523079</v>
      </c>
      <c r="AO207" s="1022">
        <f t="shared" si="159"/>
        <v>0</v>
      </c>
    </row>
    <row r="208" spans="1:41">
      <c r="A208" s="89">
        <f>'Input data'!A148</f>
        <v>2048</v>
      </c>
      <c r="B208" s="152">
        <f>'Input data'!B148</f>
        <v>74.752759240528661</v>
      </c>
      <c r="C208" s="204">
        <f>'Input data'!C148</f>
        <v>8289.8997424694644</v>
      </c>
      <c r="D208" s="475">
        <f>'Input data'!E148</f>
        <v>8214385.6638518488</v>
      </c>
      <c r="E208" s="473">
        <f>'Input data'!J148*C208</f>
        <v>99736.162043357326</v>
      </c>
      <c r="F208" s="474">
        <f>'Input data'!L148</f>
        <v>107950.54770720917</v>
      </c>
      <c r="G208" s="474">
        <f t="shared" si="171"/>
        <v>13687.941669523079</v>
      </c>
      <c r="H208" s="474">
        <f t="shared" si="160"/>
        <v>51250.187008738765</v>
      </c>
      <c r="I208" s="475">
        <f t="shared" si="136"/>
        <v>8214.3856638518482</v>
      </c>
      <c r="J208" s="100">
        <f t="shared" si="170"/>
        <v>0.4</v>
      </c>
      <c r="K208" s="474">
        <f t="shared" si="162"/>
        <v>2780.1774039821057</v>
      </c>
      <c r="L208" s="474">
        <f t="shared" si="137"/>
        <v>0</v>
      </c>
      <c r="M208" s="475">
        <f t="shared" si="163"/>
        <v>2780.1774039821057</v>
      </c>
      <c r="N208" s="579">
        <f t="shared" si="169"/>
        <v>0.5</v>
      </c>
      <c r="O208" s="475">
        <f t="shared" si="138"/>
        <v>751.91700000000026</v>
      </c>
      <c r="P208" s="1043">
        <f t="shared" si="166"/>
        <v>3532.0944039821061</v>
      </c>
      <c r="Q208" s="467">
        <f t="shared" si="139"/>
        <v>61406.034274279737</v>
      </c>
      <c r="R208" s="467">
        <f t="shared" si="164"/>
        <v>47718.092604756661</v>
      </c>
      <c r="S208" s="518">
        <f t="shared" si="140"/>
        <v>0.84490593006819925</v>
      </c>
      <c r="T208" s="118" t="str">
        <f t="shared" si="141"/>
        <v>Yes</v>
      </c>
      <c r="U208" s="1259">
        <f t="shared" si="142"/>
        <v>0.84490593006819925</v>
      </c>
      <c r="V208" s="1247">
        <f t="shared" si="134"/>
        <v>60232.455102452528</v>
      </c>
      <c r="W208" s="1260">
        <f t="shared" si="135"/>
        <v>0.44203659562877717</v>
      </c>
      <c r="X208" s="473">
        <f t="shared" si="143"/>
        <v>13687.941669523072</v>
      </c>
      <c r="Y208" s="474">
        <f t="shared" si="144"/>
        <v>11272.440733004229</v>
      </c>
      <c r="Z208" s="116">
        <f t="shared" si="145"/>
        <v>5258.9439907476335</v>
      </c>
      <c r="AA208" s="116">
        <f t="shared" si="146"/>
        <v>0</v>
      </c>
      <c r="AB208" s="116">
        <f t="shared" si="147"/>
        <v>30013.128709177592</v>
      </c>
      <c r="AC208" s="116">
        <f t="shared" si="148"/>
        <v>60232.455102452528</v>
      </c>
      <c r="AD208" s="1240">
        <f t="shared" si="149"/>
        <v>0</v>
      </c>
      <c r="AE208" s="579">
        <f t="shared" si="150"/>
        <v>0.22725192998094693</v>
      </c>
      <c r="AF208" s="100">
        <f t="shared" si="151"/>
        <v>0.18714895007733531</v>
      </c>
      <c r="AG208" s="100">
        <f t="shared" si="152"/>
        <v>8.7310802486839048E-2</v>
      </c>
      <c r="AH208" s="100">
        <f t="shared" si="165"/>
        <v>0</v>
      </c>
      <c r="AI208" s="100">
        <f t="shared" si="153"/>
        <v>0.49828831745487867</v>
      </c>
      <c r="AJ208" s="100">
        <f t="shared" si="154"/>
        <v>1</v>
      </c>
      <c r="AK208" s="1250">
        <f t="shared" si="155"/>
        <v>4928.6313983111086</v>
      </c>
      <c r="AL208" s="1251">
        <f t="shared" si="156"/>
        <v>8255.7216539726433</v>
      </c>
      <c r="AM208" s="1251">
        <f t="shared" si="157"/>
        <v>503.58861723931761</v>
      </c>
      <c r="AN208" s="1251">
        <f t="shared" si="158"/>
        <v>13687.94166952307</v>
      </c>
      <c r="AO208" s="1022">
        <f t="shared" si="159"/>
        <v>0</v>
      </c>
    </row>
    <row r="209" spans="1:41">
      <c r="A209" s="89">
        <f>'Input data'!A149</f>
        <v>2049</v>
      </c>
      <c r="B209" s="152">
        <f>'Input data'!B149</f>
        <v>75.134360114565098</v>
      </c>
      <c r="C209" s="204">
        <f>'Input data'!C149</f>
        <v>8319.7266636271434</v>
      </c>
      <c r="D209" s="475">
        <f>'Input data'!E149</f>
        <v>4212779.6609383523</v>
      </c>
      <c r="E209" s="473">
        <f>'Input data'!J149*C209</f>
        <v>100095.01109271272</v>
      </c>
      <c r="F209" s="474">
        <f>'Input data'!L149</f>
        <v>104307.79075365108</v>
      </c>
      <c r="G209" s="474">
        <f t="shared" si="171"/>
        <v>13687.941669523079</v>
      </c>
      <c r="H209" s="474">
        <f t="shared" si="160"/>
        <v>47700.780945485312</v>
      </c>
      <c r="I209" s="475">
        <f t="shared" si="136"/>
        <v>4212.7796609383522</v>
      </c>
      <c r="J209" s="100">
        <f t="shared" si="170"/>
        <v>0.4</v>
      </c>
      <c r="K209" s="474">
        <f t="shared" si="162"/>
        <v>1425.8248030448744</v>
      </c>
      <c r="L209" s="474">
        <f t="shared" si="137"/>
        <v>0</v>
      </c>
      <c r="M209" s="475">
        <f t="shared" si="163"/>
        <v>1425.8248030448744</v>
      </c>
      <c r="N209" s="579">
        <f t="shared" si="169"/>
        <v>0.5</v>
      </c>
      <c r="O209" s="475">
        <f t="shared" si="138"/>
        <v>751.91700000000026</v>
      </c>
      <c r="P209" s="1043">
        <f t="shared" si="166"/>
        <v>2177.7418030448748</v>
      </c>
      <c r="Q209" s="467">
        <f t="shared" si="139"/>
        <v>59210.980811963513</v>
      </c>
      <c r="R209" s="467">
        <f t="shared" si="164"/>
        <v>45523.039142440437</v>
      </c>
      <c r="S209" s="518">
        <f t="shared" si="140"/>
        <v>0.80311182816840843</v>
      </c>
      <c r="T209" s="118" t="str">
        <f t="shared" si="141"/>
        <v>Yes</v>
      </c>
      <c r="U209" s="1259">
        <f t="shared" si="142"/>
        <v>0.80311182816840843</v>
      </c>
      <c r="V209" s="1247">
        <f t="shared" si="134"/>
        <v>58784.751611210653</v>
      </c>
      <c r="W209" s="1260">
        <f t="shared" si="135"/>
        <v>0.43642990435828954</v>
      </c>
      <c r="X209" s="473">
        <f t="shared" si="143"/>
        <v>13687.941669523076</v>
      </c>
      <c r="Y209" s="474">
        <f t="shared" si="144"/>
        <v>9700.5342966847911</v>
      </c>
      <c r="Z209" s="116">
        <f t="shared" si="145"/>
        <v>5275.1601987700142</v>
      </c>
      <c r="AA209" s="116">
        <f t="shared" si="146"/>
        <v>0</v>
      </c>
      <c r="AB209" s="116">
        <f t="shared" si="147"/>
        <v>30121.11544623278</v>
      </c>
      <c r="AC209" s="116">
        <f t="shared" si="148"/>
        <v>58784.751611210653</v>
      </c>
      <c r="AD209" s="1240">
        <f t="shared" si="149"/>
        <v>0</v>
      </c>
      <c r="AE209" s="579">
        <f t="shared" si="150"/>
        <v>0.2328485073825283</v>
      </c>
      <c r="AF209" s="100">
        <f t="shared" si="151"/>
        <v>0.16501786655223075</v>
      </c>
      <c r="AG209" s="100">
        <f t="shared" si="152"/>
        <v>8.9736879959258095E-2</v>
      </c>
      <c r="AH209" s="100">
        <f t="shared" si="165"/>
        <v>0</v>
      </c>
      <c r="AI209" s="100">
        <f t="shared" si="153"/>
        <v>0.51239674610598296</v>
      </c>
      <c r="AJ209" s="100">
        <f t="shared" si="154"/>
        <v>1</v>
      </c>
      <c r="AK209" s="1250">
        <f t="shared" si="155"/>
        <v>2527.6677965630115</v>
      </c>
      <c r="AL209" s="1251">
        <f t="shared" si="156"/>
        <v>10518.147473506404</v>
      </c>
      <c r="AM209" s="1251">
        <f t="shared" si="157"/>
        <v>642.12639945365675</v>
      </c>
      <c r="AN209" s="1251">
        <f t="shared" si="158"/>
        <v>13687.941669523072</v>
      </c>
      <c r="AO209" s="1022">
        <f t="shared" si="159"/>
        <v>0</v>
      </c>
    </row>
    <row r="210" spans="1:41" ht="15" thickBot="1">
      <c r="A210" s="141">
        <f>'Input data'!A150</f>
        <v>2050</v>
      </c>
      <c r="B210" s="593">
        <f>'Input data'!B150</f>
        <v>75.517908999999989</v>
      </c>
      <c r="C210" s="207">
        <f>'Input data'!C150</f>
        <v>8341.54221182129</v>
      </c>
      <c r="D210" s="589">
        <f>'Input data'!E150</f>
        <v>211173.65802485455</v>
      </c>
      <c r="E210" s="598">
        <f>'Input data'!J150*C210</f>
        <v>100357.47494841044</v>
      </c>
      <c r="F210" s="595">
        <f>'Input data'!L150</f>
        <v>100568.64860643529</v>
      </c>
      <c r="G210" s="595">
        <f t="shared" si="171"/>
        <v>13687.941669523079</v>
      </c>
      <c r="H210" s="595">
        <f t="shared" si="160"/>
        <v>44096.068371873596</v>
      </c>
      <c r="I210" s="589">
        <f t="shared" si="136"/>
        <v>211.17365802485455</v>
      </c>
      <c r="J210" s="581">
        <f t="shared" si="170"/>
        <v>0.4</v>
      </c>
      <c r="K210" s="595">
        <f t="shared" si="162"/>
        <v>71.472202107643056</v>
      </c>
      <c r="L210" s="595">
        <f t="shared" si="137"/>
        <v>0</v>
      </c>
      <c r="M210" s="589">
        <f t="shared" si="163"/>
        <v>71.472202107643056</v>
      </c>
      <c r="N210" s="580">
        <f t="shared" si="169"/>
        <v>0.5</v>
      </c>
      <c r="O210" s="589">
        <f t="shared" si="138"/>
        <v>751.91700000000026</v>
      </c>
      <c r="P210" s="1390">
        <f t="shared" si="166"/>
        <v>823.38920210764331</v>
      </c>
      <c r="Q210" s="1238">
        <f t="shared" si="139"/>
        <v>56960.620839289033</v>
      </c>
      <c r="R210" s="1238">
        <f t="shared" si="164"/>
        <v>43272.67916976595</v>
      </c>
      <c r="S210" s="520">
        <f t="shared" si="140"/>
        <v>0.76138829988542223</v>
      </c>
      <c r="T210" s="951" t="str">
        <f t="shared" si="141"/>
        <v>Yes</v>
      </c>
      <c r="U210" s="1261">
        <f t="shared" si="142"/>
        <v>0.76138829988542223</v>
      </c>
      <c r="V210" s="1248">
        <f t="shared" si="134"/>
        <v>57295.969436669358</v>
      </c>
      <c r="W210" s="1262">
        <f t="shared" si="135"/>
        <v>0.43028001041466668</v>
      </c>
      <c r="X210" s="598">
        <f t="shared" si="143"/>
        <v>13687.941669523081</v>
      </c>
      <c r="Y210" s="595">
        <f t="shared" si="144"/>
        <v>8120.9095132174525</v>
      </c>
      <c r="Z210" s="1264">
        <f t="shared" si="145"/>
        <v>5287.0208083773005</v>
      </c>
      <c r="AA210" s="1264">
        <f t="shared" si="146"/>
        <v>0</v>
      </c>
      <c r="AB210" s="1264">
        <f t="shared" si="147"/>
        <v>30200.097445551524</v>
      </c>
      <c r="AC210" s="1264">
        <f t="shared" si="148"/>
        <v>57295.969436669358</v>
      </c>
      <c r="AD210" s="1241">
        <f t="shared" si="149"/>
        <v>0</v>
      </c>
      <c r="AE210" s="580">
        <f t="shared" si="150"/>
        <v>0.23889885805410271</v>
      </c>
      <c r="AF210" s="581">
        <f t="shared" si="151"/>
        <v>0.14173613943636459</v>
      </c>
      <c r="AG210" s="581">
        <f t="shared" si="152"/>
        <v>9.2275614853173468E-2</v>
      </c>
      <c r="AH210" s="581">
        <f t="shared" si="165"/>
        <v>0</v>
      </c>
      <c r="AI210" s="581">
        <f>AB210/AC210</f>
        <v>0.52708938765635915</v>
      </c>
      <c r="AJ210" s="581">
        <f t="shared" si="154"/>
        <v>1</v>
      </c>
      <c r="AK210" s="1252">
        <f t="shared" si="155"/>
        <v>126.70419481491274</v>
      </c>
      <c r="AL210" s="1253">
        <f t="shared" si="156"/>
        <v>12780.523935495927</v>
      </c>
      <c r="AM210" s="1253">
        <f t="shared" si="157"/>
        <v>780.71353921223874</v>
      </c>
      <c r="AN210" s="1253">
        <f t="shared" si="158"/>
        <v>13687.941669523078</v>
      </c>
      <c r="AO210" s="1023">
        <f t="shared" si="159"/>
        <v>0</v>
      </c>
    </row>
  </sheetData>
  <mergeCells count="78">
    <mergeCell ref="R134:R135"/>
    <mergeCell ref="T134:T136"/>
    <mergeCell ref="S134:S135"/>
    <mergeCell ref="V134:V135"/>
    <mergeCell ref="V174:V175"/>
    <mergeCell ref="G8:I8"/>
    <mergeCell ref="H26:H27"/>
    <mergeCell ref="C29:D29"/>
    <mergeCell ref="E29:F29"/>
    <mergeCell ref="G29:H29"/>
    <mergeCell ref="G26:G27"/>
    <mergeCell ref="A26:A27"/>
    <mergeCell ref="B26:B27"/>
    <mergeCell ref="E26:E27"/>
    <mergeCell ref="F26:F27"/>
    <mergeCell ref="A4:A6"/>
    <mergeCell ref="B4:B6"/>
    <mergeCell ref="A8:A9"/>
    <mergeCell ref="B8:F8"/>
    <mergeCell ref="A36:A37"/>
    <mergeCell ref="C42:I42"/>
    <mergeCell ref="Q42:W42"/>
    <mergeCell ref="A94:D94"/>
    <mergeCell ref="E94:G94"/>
    <mergeCell ref="H94:K94"/>
    <mergeCell ref="L94:P94"/>
    <mergeCell ref="Q94:U94"/>
    <mergeCell ref="V94:V95"/>
    <mergeCell ref="W94:X94"/>
    <mergeCell ref="J42:P42"/>
    <mergeCell ref="A95:A96"/>
    <mergeCell ref="A135:A136"/>
    <mergeCell ref="P134:P135"/>
    <mergeCell ref="Q134:Q135"/>
    <mergeCell ref="A134:D134"/>
    <mergeCell ref="E134:I134"/>
    <mergeCell ref="M134:M135"/>
    <mergeCell ref="N134:O134"/>
    <mergeCell ref="J134:L134"/>
    <mergeCell ref="A175:A176"/>
    <mergeCell ref="A174:D174"/>
    <mergeCell ref="E174:I174"/>
    <mergeCell ref="J174:L174"/>
    <mergeCell ref="M174:M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N174:O174"/>
    <mergeCell ref="P174:P175"/>
    <mergeCell ref="Q174:Q175"/>
    <mergeCell ref="R174:R175"/>
    <mergeCell ref="S174:S175"/>
    <mergeCell ref="CB94:CC94"/>
    <mergeCell ref="CG94:CM94"/>
    <mergeCell ref="CM95:CM96"/>
    <mergeCell ref="CD94:CE94"/>
    <mergeCell ref="BV94:BX94"/>
    <mergeCell ref="BY94:CA94"/>
    <mergeCell ref="AE94:AE95"/>
    <mergeCell ref="BC94:BC95"/>
    <mergeCell ref="AK134:AO134"/>
    <mergeCell ref="AR94:BB94"/>
    <mergeCell ref="BM94:BT94"/>
    <mergeCell ref="BE94:BL94"/>
    <mergeCell ref="BD94:BD96"/>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33203125" defaultRowHeight="14.4"/>
  <cols>
    <col min="1" max="1" width="39.6640625" customWidth="1"/>
    <col min="2" max="2" width="32.88671875" customWidth="1"/>
    <col min="3" max="3" width="57.6640625" customWidth="1"/>
    <col min="4" max="4" width="35.5546875" hidden="1" customWidth="1"/>
    <col min="5" max="5" width="10.44140625" hidden="1" customWidth="1"/>
    <col min="6" max="6" width="9" hidden="1" customWidth="1"/>
    <col min="7" max="8" width="10" hidden="1" customWidth="1"/>
    <col min="9" max="9" width="1.6640625" customWidth="1"/>
    <col min="10" max="10" width="20.44140625" customWidth="1"/>
    <col min="11" max="11" width="21" customWidth="1"/>
    <col min="12" max="14" width="17.6640625" customWidth="1"/>
    <col min="15" max="15" width="17.109375" customWidth="1"/>
    <col min="16" max="16" width="12.109375" customWidth="1"/>
    <col min="24" max="24" width="17" customWidth="1"/>
    <col min="25" max="25" width="30.33203125" customWidth="1"/>
    <col min="26" max="26" width="13.44140625" customWidth="1"/>
    <col min="27" max="27" width="13.44140625" bestFit="1" customWidth="1"/>
    <col min="28" max="28" width="14.5546875" customWidth="1"/>
    <col min="29" max="29" width="12.6640625" customWidth="1"/>
    <col min="30" max="30" width="14.33203125" customWidth="1"/>
    <col min="31" max="31" width="18.33203125" bestFit="1" customWidth="1"/>
    <col min="32" max="32" width="16.88671875" customWidth="1"/>
    <col min="33" max="33" width="20.33203125" customWidth="1"/>
    <col min="34" max="34" width="13.44140625" customWidth="1"/>
    <col min="35" max="35" width="13.33203125" customWidth="1"/>
    <col min="36" max="36" width="14.5546875" customWidth="1"/>
    <col min="37" max="37" width="14.6640625" customWidth="1"/>
    <col min="38" max="38" width="12.88671875" customWidth="1"/>
    <col min="39" max="39" width="13" customWidth="1"/>
    <col min="40" max="40" width="13.5546875" customWidth="1"/>
    <col min="41" max="41" width="12.88671875" customWidth="1"/>
    <col min="42" max="42" width="14.554687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6">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2">
      <c r="A4" s="308" t="s">
        <v>352</v>
      </c>
      <c r="B4" s="308"/>
      <c r="C4" s="308" t="s">
        <v>353</v>
      </c>
      <c r="D4" s="309" t="s">
        <v>381</v>
      </c>
      <c r="E4" s="310" t="s">
        <v>382</v>
      </c>
      <c r="F4" s="311" t="s">
        <v>383</v>
      </c>
      <c r="G4" s="311"/>
      <c r="H4" s="311"/>
      <c r="I4" s="310" t="s">
        <v>384</v>
      </c>
      <c r="J4" s="1633" t="s">
        <v>545</v>
      </c>
      <c r="K4" s="1632" t="s">
        <v>546</v>
      </c>
      <c r="L4" s="1632" t="s">
        <v>547</v>
      </c>
      <c r="M4" s="1632" t="s">
        <v>548</v>
      </c>
      <c r="N4" s="1632" t="s">
        <v>498</v>
      </c>
      <c r="O4" s="1632"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3" t="s">
        <v>355</v>
      </c>
      <c r="K5" s="1632"/>
      <c r="L5" s="1632"/>
      <c r="M5" s="1632"/>
      <c r="N5" s="1632"/>
      <c r="O5" s="1632"/>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6">
      <c r="A6" s="1634"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6">
      <c r="A7" s="1634"/>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6">
      <c r="A8" s="1634"/>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52"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52"/>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52"/>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6">
      <c r="A12" s="1552"/>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52"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52"/>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28.8">
      <c r="A15" s="1552"/>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6">
      <c r="A16" s="1552"/>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6">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6">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6">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6">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6">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6">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6">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6">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6">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6">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6">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6">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6">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6">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6">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6">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6">
      <c r="A33" s="1635" t="s">
        <v>392</v>
      </c>
      <c r="B33" s="1635"/>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6">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6">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6">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6">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6">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6"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6"/>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6"/>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6"/>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6"/>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6">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6">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6">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6">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6">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6">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6">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6">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6">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6">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6">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6">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6">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6">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15.6">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6">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6">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6">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6">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6">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6">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6">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6">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6">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6">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6">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6">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6">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6">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6">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6">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6">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A6:A8"/>
    <mergeCell ref="A9:A12"/>
    <mergeCell ref="A13:A16"/>
    <mergeCell ref="A33:B33"/>
    <mergeCell ref="A39:A43"/>
    <mergeCell ref="O4:O5"/>
    <mergeCell ref="J4:J5"/>
    <mergeCell ref="K4:K5"/>
    <mergeCell ref="L4:L5"/>
    <mergeCell ref="M4:M5"/>
    <mergeCell ref="N4:N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4.4"/>
  <cols>
    <col min="1" max="1" width="17.5546875" customWidth="1"/>
    <col min="2" max="2" width="80" customWidth="1"/>
    <col min="3" max="3" width="22.5546875" customWidth="1"/>
    <col min="4" max="4" width="15.109375" customWidth="1"/>
    <col min="5" max="5" width="22.33203125" customWidth="1"/>
    <col min="6" max="6" width="13.109375" customWidth="1"/>
    <col min="7" max="7" width="27.5546875" customWidth="1"/>
    <col min="10" max="10" width="13.6640625" customWidth="1"/>
    <col min="13" max="13" width="8.88671875" customWidth="1"/>
    <col min="14" max="14" width="12.33203125" customWidth="1"/>
    <col min="18" max="18" width="13.109375" customWidth="1"/>
    <col min="19" max="19" width="15.88671875" customWidth="1"/>
  </cols>
  <sheetData>
    <row r="1" spans="2:10">
      <c r="B1" s="2" t="s">
        <v>0</v>
      </c>
    </row>
    <row r="2" spans="2:10" ht="1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28.8">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28.8">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6">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00000000000006"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 thickBot="1">
      <c r="B103" s="134"/>
      <c r="C103" s="137"/>
      <c r="D103" s="137"/>
      <c r="E103" s="137"/>
      <c r="F103" s="135"/>
      <c r="G103" s="136"/>
      <c r="H103" s="142"/>
      <c r="I103" s="142"/>
      <c r="J103" s="123"/>
    </row>
    <row r="104" spans="2:20">
      <c r="B104" s="511" t="s">
        <v>521</v>
      </c>
      <c r="C104" s="94"/>
      <c r="D104" s="94"/>
      <c r="E104" s="94"/>
      <c r="F104" s="95"/>
      <c r="G104" s="97"/>
    </row>
    <row r="105" spans="2:20" ht="15.6">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 thickBot="1"/>
    <row r="112" spans="2:20" ht="15" thickBot="1">
      <c r="C112" s="1639" t="s">
        <v>267</v>
      </c>
      <c r="D112" s="1640"/>
      <c r="E112" s="1640"/>
      <c r="F112" s="1640"/>
      <c r="G112" s="1640"/>
      <c r="H112" s="1641"/>
      <c r="I112" s="1639" t="s">
        <v>268</v>
      </c>
      <c r="J112" s="1640"/>
      <c r="K112" s="1640"/>
      <c r="L112" s="1640"/>
      <c r="M112" s="1640"/>
      <c r="N112" s="1641"/>
      <c r="R112" s="255" t="s">
        <v>267</v>
      </c>
      <c r="S112" s="256" t="s">
        <v>268</v>
      </c>
    </row>
    <row r="113" spans="2:20" ht="39.6">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mc:AlternateContent xmlns:x12ac="http://schemas.microsoft.com/office/spreadsheetml/2011/1/ac" xmlns:mc="http://schemas.openxmlformats.org/markup-compatibility/2006">
        <mc:Choice Requires="x12ac">
          <x12ac:list>"""1"""</x12ac:list>
        </mc:Choice>
        <mc:Fallback>
          <formula1>"""1"""</formula1>
        </mc:Fallback>
      </mc:AlternateContent>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4.4"/>
  <cols>
    <col min="1" max="1" width="64.6640625" customWidth="1"/>
    <col min="2" max="3" width="20.44140625" customWidth="1"/>
    <col min="4"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2.1093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3.8867187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 thickBot="1">
      <c r="A14" s="134" t="s">
        <v>721</v>
      </c>
      <c r="B14" s="142"/>
      <c r="C14" s="142"/>
      <c r="D14" s="607">
        <f>'Waste Summary 2017 SASOW'!$L$26</f>
        <v>6.9875113374971584E-2</v>
      </c>
      <c r="E14" s="123"/>
      <c r="X14" s="1" t="s">
        <v>643</v>
      </c>
      <c r="AH14" s="1" t="s">
        <v>641</v>
      </c>
      <c r="BB14" s="266" t="s">
        <v>643</v>
      </c>
      <c r="BI14" t="s">
        <v>641</v>
      </c>
    </row>
    <row r="15" spans="1:66" ht="15" thickBot="1">
      <c r="N15" s="199" t="s">
        <v>267</v>
      </c>
      <c r="X15" s="2" t="s">
        <v>318</v>
      </c>
      <c r="AH15" s="2" t="s">
        <v>632</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2"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3"/>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2"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801.06494902497252</v>
      </c>
      <c r="Y89" s="886">
        <f>Parameters!S190</f>
        <v>0.71500000000000008</v>
      </c>
      <c r="Z89" s="887">
        <f t="shared" si="68"/>
        <v>0.4</v>
      </c>
      <c r="AA89" s="888">
        <f t="shared" si="69"/>
        <v>114.55228771057109</v>
      </c>
      <c r="AB89" s="888">
        <f t="shared" si="70"/>
        <v>114.55228771057109</v>
      </c>
      <c r="AC89" s="311">
        <f t="shared" si="71"/>
        <v>0</v>
      </c>
      <c r="AD89" s="888">
        <f t="shared" si="72"/>
        <v>10176.356106042482</v>
      </c>
      <c r="AE89" s="888">
        <f t="shared" si="73"/>
        <v>515.87971328634205</v>
      </c>
      <c r="AF89" s="889">
        <f t="shared" si="74"/>
        <v>343.91980885756135</v>
      </c>
      <c r="AH89" s="885">
        <f>'Recycling - Case 1'!AM179</f>
        <v>801.06494902497252</v>
      </c>
      <c r="AI89" s="886">
        <f>Parameters!S190</f>
        <v>0.71500000000000008</v>
      </c>
      <c r="AJ89" s="887">
        <f t="shared" si="75"/>
        <v>0.4</v>
      </c>
      <c r="AK89" s="888">
        <f t="shared" si="76"/>
        <v>114.55228771057109</v>
      </c>
      <c r="AL89" s="888">
        <f t="shared" si="77"/>
        <v>114.55228771057109</v>
      </c>
      <c r="AM89" s="311">
        <f t="shared" si="78"/>
        <v>0</v>
      </c>
      <c r="AN89" s="888">
        <f t="shared" si="79"/>
        <v>10176.356106042482</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59.308690000000006</v>
      </c>
      <c r="C90" s="728">
        <f>'Recycling - Case 1'!AK100/B90</f>
        <v>394.54747036689599</v>
      </c>
      <c r="D90" s="729">
        <f>'Recycling - Case 1'!AM100</f>
        <v>0.40584133227313579</v>
      </c>
      <c r="E90" s="729">
        <f>'Recycling - Case 1'!BE100</f>
        <v>0.22306252191072812</v>
      </c>
      <c r="F90" s="729">
        <f>'Recycling - Case 1'!BF100</f>
        <v>0.28290362436222583</v>
      </c>
      <c r="G90" s="729">
        <f>'Recycling - Case 1'!BG100</f>
        <v>6.3977278058215084E-2</v>
      </c>
      <c r="H90" s="729">
        <f>'Recycling - Case 1'!BH100</f>
        <v>0</v>
      </c>
      <c r="I90" s="729">
        <f>'Recycling - Case 1'!BI100</f>
        <v>0</v>
      </c>
      <c r="J90" s="729">
        <f>'Recycling - Case 1'!BJ100</f>
        <v>0</v>
      </c>
      <c r="K90" s="729">
        <f>'Recycling - Case 1'!BK100</f>
        <v>0.43005657566883099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734">
        <f t="shared" si="62"/>
        <v>417.91759486260537</v>
      </c>
      <c r="R90" s="734">
        <f t="shared" si="63"/>
        <v>417.91759486260537</v>
      </c>
      <c r="S90" s="737">
        <f t="shared" si="64"/>
        <v>0</v>
      </c>
      <c r="T90" s="734">
        <f t="shared" si="65"/>
        <v>13416.533445234772</v>
      </c>
      <c r="U90" s="734">
        <f t="shared" si="66"/>
        <v>666.453286019345</v>
      </c>
      <c r="V90" s="741">
        <f t="shared" si="67"/>
        <v>444.30219067956335</v>
      </c>
      <c r="W90" s="383"/>
      <c r="X90" s="885">
        <f>'Recycling - Case 1'!AM140</f>
        <v>718.18982540275408</v>
      </c>
      <c r="Y90" s="886">
        <f>Parameters!S191</f>
        <v>0.71500000000000008</v>
      </c>
      <c r="Z90" s="887">
        <f t="shared" si="68"/>
        <v>0.4</v>
      </c>
      <c r="AA90" s="888">
        <f t="shared" si="69"/>
        <v>102.70114503259386</v>
      </c>
      <c r="AB90" s="888">
        <f t="shared" si="70"/>
        <v>102.70114503259386</v>
      </c>
      <c r="AC90" s="311">
        <f t="shared" si="71"/>
        <v>0</v>
      </c>
      <c r="AD90" s="888">
        <f t="shared" si="72"/>
        <v>9782.750507297711</v>
      </c>
      <c r="AE90" s="888">
        <f t="shared" si="73"/>
        <v>496.30674377736477</v>
      </c>
      <c r="AF90" s="889">
        <f t="shared" si="74"/>
        <v>330.87116251824318</v>
      </c>
      <c r="AH90" s="885">
        <f>'Recycling - Case 1'!AM180</f>
        <v>718.18982540275408</v>
      </c>
      <c r="AI90" s="886">
        <f>Parameters!S191</f>
        <v>0.71500000000000008</v>
      </c>
      <c r="AJ90" s="887">
        <f t="shared" si="75"/>
        <v>0.4</v>
      </c>
      <c r="AK90" s="888">
        <f t="shared" si="76"/>
        <v>102.70114503259386</v>
      </c>
      <c r="AL90" s="888">
        <f t="shared" si="77"/>
        <v>102.70114503259386</v>
      </c>
      <c r="AM90" s="311">
        <f t="shared" si="78"/>
        <v>0</v>
      </c>
      <c r="AN90" s="888">
        <f t="shared" si="79"/>
        <v>9782.750507297711</v>
      </c>
      <c r="AO90" s="888">
        <f t="shared" si="80"/>
        <v>496.30674377736477</v>
      </c>
      <c r="AP90" s="889">
        <f t="shared" si="81"/>
        <v>330.87116251824318</v>
      </c>
      <c r="AR90" s="901">
        <f>'Recycling - Case 1'!G100</f>
        <v>538.51529150686906</v>
      </c>
      <c r="AS90" s="920">
        <v>1</v>
      </c>
      <c r="AT90" s="902">
        <f t="shared" si="82"/>
        <v>0.05</v>
      </c>
      <c r="AU90" s="903">
        <f t="shared" si="83"/>
        <v>13.462882287671727</v>
      </c>
      <c r="AV90" s="903">
        <f t="shared" si="84"/>
        <v>13.462882287671727</v>
      </c>
      <c r="AW90" s="279">
        <f t="shared" si="85"/>
        <v>0</v>
      </c>
      <c r="AX90" s="903">
        <f t="shared" si="51"/>
        <v>155.85996766925578</v>
      </c>
      <c r="AY90" s="903">
        <f t="shared" si="54"/>
        <v>8.8053439981218684</v>
      </c>
      <c r="AZ90" s="921">
        <f t="shared" si="52"/>
        <v>5.8702293320812453</v>
      </c>
      <c r="BB90" s="913">
        <f t="shared" si="86"/>
        <v>444.30219067956335</v>
      </c>
      <c r="BC90" s="914">
        <f t="shared" si="87"/>
        <v>330.87116251824318</v>
      </c>
      <c r="BD90" s="933">
        <f t="shared" si="101"/>
        <v>5.8702293320812453</v>
      </c>
      <c r="BE90" s="914">
        <f t="shared" si="60"/>
        <v>781.04358252988789</v>
      </c>
      <c r="BF90" s="145">
        <v>0</v>
      </c>
      <c r="BG90" s="927">
        <f t="shared" si="88"/>
        <v>781.04358252988789</v>
      </c>
      <c r="BI90" s="913">
        <f t="shared" si="89"/>
        <v>444.30219067956335</v>
      </c>
      <c r="BJ90" s="914">
        <f t="shared" si="90"/>
        <v>330.87116251824318</v>
      </c>
      <c r="BK90" s="933">
        <f t="shared" si="91"/>
        <v>5.8702293320812453</v>
      </c>
      <c r="BL90" s="914">
        <f t="shared" si="61"/>
        <v>781.04358252988789</v>
      </c>
      <c r="BM90" s="145">
        <v>0</v>
      </c>
      <c r="BN90" s="927">
        <f t="shared" si="92"/>
        <v>781.04358252988789</v>
      </c>
    </row>
    <row r="91" spans="1:66">
      <c r="A91" s="805">
        <f>'Input data'!A121</f>
        <v>2021</v>
      </c>
      <c r="B91" s="728">
        <f>'Input data'!B121</f>
        <v>59.991580449204264</v>
      </c>
      <c r="C91" s="728">
        <f>'Recycling - Case 1'!AK101/B91</f>
        <v>387.06124919664796</v>
      </c>
      <c r="D91" s="729">
        <f>'Recycling - Case 1'!AM101</f>
        <v>0.38774635057032381</v>
      </c>
      <c r="E91" s="729">
        <f>'Recycling - Case 1'!BE101</f>
        <v>0.21705315966083133</v>
      </c>
      <c r="F91" s="729">
        <f>'Recycling - Case 1'!BF101</f>
        <v>0.27528212727684037</v>
      </c>
      <c r="G91" s="729">
        <f>'Recycling - Case 1'!BG101</f>
        <v>6.5742471417509829E-2</v>
      </c>
      <c r="H91" s="729">
        <f>'Recycling - Case 1'!BH101</f>
        <v>0</v>
      </c>
      <c r="I91" s="729">
        <f>'Recycling - Case 1'!BI101</f>
        <v>0</v>
      </c>
      <c r="J91" s="729">
        <f>'Recycling - Case 1'!BJ101</f>
        <v>0</v>
      </c>
      <c r="K91" s="729">
        <f>'Recycling - Case 1'!BK101</f>
        <v>0.44192224164481869</v>
      </c>
      <c r="L91" s="730">
        <f t="shared" si="100"/>
        <v>1.0000000000000002</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0.11391138797149672</v>
      </c>
      <c r="Q91" s="734">
        <f t="shared" si="62"/>
        <v>395.65116142196723</v>
      </c>
      <c r="R91" s="734">
        <f t="shared" si="63"/>
        <v>395.65116142196723</v>
      </c>
      <c r="S91" s="737">
        <f t="shared" si="64"/>
        <v>0</v>
      </c>
      <c r="T91" s="734">
        <f t="shared" si="65"/>
        <v>13157.852549327221</v>
      </c>
      <c r="U91" s="734">
        <f t="shared" si="66"/>
        <v>654.33205732951797</v>
      </c>
      <c r="V91" s="741">
        <f t="shared" si="67"/>
        <v>436.22137155301198</v>
      </c>
      <c r="W91" s="383"/>
      <c r="X91" s="885">
        <f>'Recycling - Case 1'!AM141</f>
        <v>556.96799005817104</v>
      </c>
      <c r="Y91" s="886">
        <f>Parameters!S192</f>
        <v>0.71500000000000008</v>
      </c>
      <c r="Z91" s="887">
        <f t="shared" si="68"/>
        <v>0.4</v>
      </c>
      <c r="AA91" s="888">
        <f t="shared" si="69"/>
        <v>79.646422578318465</v>
      </c>
      <c r="AB91" s="888">
        <f t="shared" si="70"/>
        <v>79.646422578318465</v>
      </c>
      <c r="AC91" s="311">
        <f t="shared" si="71"/>
        <v>0</v>
      </c>
      <c r="AD91" s="888">
        <f t="shared" si="72"/>
        <v>9385.2865576691875</v>
      </c>
      <c r="AE91" s="888">
        <f t="shared" si="73"/>
        <v>477.1103722068413</v>
      </c>
      <c r="AF91" s="889">
        <f t="shared" si="74"/>
        <v>318.07358147122756</v>
      </c>
      <c r="AH91" s="885">
        <f>'Recycling - Case 1'!AM181</f>
        <v>556.96799005817104</v>
      </c>
      <c r="AI91" s="886">
        <f>Parameters!S192</f>
        <v>0.71500000000000008</v>
      </c>
      <c r="AJ91" s="887">
        <f t="shared" si="75"/>
        <v>0.4</v>
      </c>
      <c r="AK91" s="888">
        <f t="shared" si="76"/>
        <v>79.646422578318465</v>
      </c>
      <c r="AL91" s="888">
        <f t="shared" si="77"/>
        <v>79.646422578318465</v>
      </c>
      <c r="AM91" s="311">
        <f t="shared" si="78"/>
        <v>0</v>
      </c>
      <c r="AN91" s="888">
        <f t="shared" si="79"/>
        <v>9385.2865576691875</v>
      </c>
      <c r="AO91" s="888">
        <f t="shared" si="80"/>
        <v>477.1103722068413</v>
      </c>
      <c r="AP91" s="889">
        <f t="shared" si="81"/>
        <v>318.07358147122756</v>
      </c>
      <c r="AR91" s="901">
        <f>'Recycling - Case 1'!G101</f>
        <v>549.0364074270924</v>
      </c>
      <c r="AS91" s="920">
        <v>1</v>
      </c>
      <c r="AT91" s="902">
        <f t="shared" si="82"/>
        <v>0.05</v>
      </c>
      <c r="AU91" s="903">
        <f t="shared" si="83"/>
        <v>13.725910185677311</v>
      </c>
      <c r="AV91" s="903">
        <f t="shared" si="84"/>
        <v>13.725910185677311</v>
      </c>
      <c r="AW91" s="279">
        <f t="shared" si="85"/>
        <v>0</v>
      </c>
      <c r="AX91" s="903">
        <f t="shared" si="51"/>
        <v>160.50929994217009</v>
      </c>
      <c r="AY91" s="903">
        <f t="shared" si="54"/>
        <v>9.0765779127630246</v>
      </c>
      <c r="AZ91" s="921">
        <f t="shared" si="52"/>
        <v>6.0510519418420161</v>
      </c>
      <c r="BB91" s="913">
        <f t="shared" si="86"/>
        <v>436.22137155301198</v>
      </c>
      <c r="BC91" s="914">
        <f t="shared" si="87"/>
        <v>318.07358147122756</v>
      </c>
      <c r="BD91" s="933">
        <f t="shared" si="101"/>
        <v>6.0510519418420161</v>
      </c>
      <c r="BE91" s="914">
        <f t="shared" si="60"/>
        <v>760.34600496608152</v>
      </c>
      <c r="BF91" s="145">
        <v>0</v>
      </c>
      <c r="BG91" s="927">
        <f t="shared" si="88"/>
        <v>760.34600496608152</v>
      </c>
      <c r="BI91" s="913">
        <f t="shared" si="89"/>
        <v>436.22137155301198</v>
      </c>
      <c r="BJ91" s="914">
        <f t="shared" si="90"/>
        <v>318.07358147122756</v>
      </c>
      <c r="BK91" s="933">
        <f t="shared" si="91"/>
        <v>6.0510519418420161</v>
      </c>
      <c r="BL91" s="914">
        <f t="shared" si="61"/>
        <v>760.34600496608152</v>
      </c>
      <c r="BM91" s="145">
        <v>0</v>
      </c>
      <c r="BN91" s="927">
        <f t="shared" si="92"/>
        <v>760.34600496608152</v>
      </c>
    </row>
    <row r="92" spans="1:66">
      <c r="A92" s="805">
        <f>'Input data'!A122</f>
        <v>2022</v>
      </c>
      <c r="B92" s="728">
        <f>'Input data'!B122</f>
        <v>60.682333816399378</v>
      </c>
      <c r="C92" s="728">
        <f>'Recycling - Case 1'!AK102/B92</f>
        <v>380.16515274375075</v>
      </c>
      <c r="D92" s="729">
        <f>'Recycling - Case 1'!AM102</f>
        <v>0.37002151937867211</v>
      </c>
      <c r="E92" s="729">
        <f>'Recycling - Case 1'!BE102</f>
        <v>0.21085401693981362</v>
      </c>
      <c r="F92" s="729">
        <f>'Recycling - Case 1'!BF102</f>
        <v>0.26741993721150753</v>
      </c>
      <c r="G92" s="729">
        <f>'Recycling - Case 1'!BG102</f>
        <v>6.7563410996355919E-2</v>
      </c>
      <c r="H92" s="729">
        <f>'Recycling - Case 1'!BH102</f>
        <v>0</v>
      </c>
      <c r="I92" s="729">
        <f>'Recycling - Case 1'!BI102</f>
        <v>0</v>
      </c>
      <c r="J92" s="729">
        <f>'Recycling - Case 1'!BJ102</f>
        <v>0</v>
      </c>
      <c r="K92" s="729">
        <f>'Recycling - Case 1'!BK102</f>
        <v>0.45416263485232289</v>
      </c>
      <c r="L92" s="730">
        <f t="shared" si="100"/>
        <v>0.99999999999999989</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0.11213745438181591</v>
      </c>
      <c r="Q92" s="734">
        <f t="shared" si="62"/>
        <v>374.23662749316668</v>
      </c>
      <c r="R92" s="734">
        <f t="shared" si="63"/>
        <v>374.23662749316668</v>
      </c>
      <c r="S92" s="737">
        <f t="shared" si="64"/>
        <v>0</v>
      </c>
      <c r="T92" s="734">
        <f t="shared" si="65"/>
        <v>12890.373135654952</v>
      </c>
      <c r="U92" s="734">
        <f t="shared" si="66"/>
        <v>641.71604116543574</v>
      </c>
      <c r="V92" s="741">
        <f t="shared" si="67"/>
        <v>427.81069411029051</v>
      </c>
      <c r="W92" s="383"/>
      <c r="X92" s="885">
        <f>'Recycling - Case 1'!AM142</f>
        <v>404.35426143634237</v>
      </c>
      <c r="Y92" s="886">
        <f>Parameters!S193</f>
        <v>0.71500000000000008</v>
      </c>
      <c r="Z92" s="887">
        <f t="shared" si="68"/>
        <v>0.4</v>
      </c>
      <c r="AA92" s="888">
        <f t="shared" si="69"/>
        <v>57.822659385396967</v>
      </c>
      <c r="AB92" s="888">
        <f t="shared" si="70"/>
        <v>57.822659385396967</v>
      </c>
      <c r="AC92" s="311">
        <f t="shared" si="71"/>
        <v>0</v>
      </c>
      <c r="AD92" s="888">
        <f t="shared" si="72"/>
        <v>8985.3833904113471</v>
      </c>
      <c r="AE92" s="888">
        <f t="shared" si="73"/>
        <v>457.72582664323897</v>
      </c>
      <c r="AF92" s="889">
        <f t="shared" si="74"/>
        <v>305.15055109549263</v>
      </c>
      <c r="AH92" s="885">
        <f>'Recycling - Case 1'!AM182</f>
        <v>404.35426143634237</v>
      </c>
      <c r="AI92" s="886">
        <f>Parameters!S193</f>
        <v>0.71500000000000008</v>
      </c>
      <c r="AJ92" s="887">
        <f t="shared" si="75"/>
        <v>0.4</v>
      </c>
      <c r="AK92" s="888">
        <f t="shared" si="76"/>
        <v>57.822659385396967</v>
      </c>
      <c r="AL92" s="888">
        <f t="shared" si="77"/>
        <v>57.822659385396967</v>
      </c>
      <c r="AM92" s="311">
        <f t="shared" si="78"/>
        <v>0</v>
      </c>
      <c r="AN92" s="888">
        <f t="shared" si="79"/>
        <v>8985.3833904113471</v>
      </c>
      <c r="AO92" s="888">
        <f t="shared" si="80"/>
        <v>457.72582664323897</v>
      </c>
      <c r="AP92" s="889">
        <f t="shared" si="81"/>
        <v>305.15055109549263</v>
      </c>
      <c r="AR92" s="901">
        <f>'Recycling - Case 1'!G102</f>
        <v>559.72841293499425</v>
      </c>
      <c r="AS92" s="920">
        <v>1</v>
      </c>
      <c r="AT92" s="902">
        <f t="shared" si="82"/>
        <v>0.05</v>
      </c>
      <c r="AU92" s="903">
        <f t="shared" si="83"/>
        <v>13.993210323374857</v>
      </c>
      <c r="AV92" s="903">
        <f t="shared" si="84"/>
        <v>13.993210323374857</v>
      </c>
      <c r="AW92" s="279">
        <f t="shared" si="85"/>
        <v>0</v>
      </c>
      <c r="AX92" s="903">
        <f t="shared" si="51"/>
        <v>165.15517631934694</v>
      </c>
      <c r="AY92" s="903">
        <f t="shared" si="54"/>
        <v>9.3473339461979954</v>
      </c>
      <c r="AZ92" s="921">
        <f t="shared" si="52"/>
        <v>6.2315559641319966</v>
      </c>
      <c r="BB92" s="913">
        <f t="shared" si="86"/>
        <v>427.81069411029051</v>
      </c>
      <c r="BC92" s="914">
        <f t="shared" si="87"/>
        <v>305.15055109549263</v>
      </c>
      <c r="BD92" s="933">
        <f t="shared" si="101"/>
        <v>6.2315559641319966</v>
      </c>
      <c r="BE92" s="914">
        <f t="shared" si="60"/>
        <v>739.19280116991513</v>
      </c>
      <c r="BF92" s="145">
        <v>0</v>
      </c>
      <c r="BG92" s="927">
        <f t="shared" si="88"/>
        <v>739.19280116991513</v>
      </c>
      <c r="BI92" s="913">
        <f t="shared" si="89"/>
        <v>427.81069411029051</v>
      </c>
      <c r="BJ92" s="914">
        <f t="shared" si="90"/>
        <v>305.15055109549263</v>
      </c>
      <c r="BK92" s="933">
        <f t="shared" si="91"/>
        <v>6.2315559641319966</v>
      </c>
      <c r="BL92" s="914">
        <f t="shared" si="61"/>
        <v>739.19280116991513</v>
      </c>
      <c r="BM92" s="145">
        <v>0</v>
      </c>
      <c r="BN92" s="927">
        <f t="shared" si="92"/>
        <v>739.19280116991513</v>
      </c>
    </row>
    <row r="93" spans="1:66">
      <c r="A93" s="805">
        <f>'Input data'!A123</f>
        <v>2023</v>
      </c>
      <c r="B93" s="728">
        <f>'Input data'!B123</f>
        <v>61.381040636574369</v>
      </c>
      <c r="C93" s="728">
        <f>'Recycling - Case 1'!AK103/B93</f>
        <v>373.81875656843408</v>
      </c>
      <c r="D93" s="729">
        <f>'Recycling - Case 1'!AM103</f>
        <v>0.35270374709687796</v>
      </c>
      <c r="E93" s="729">
        <f>'Recycling - Case 1'!BE103</f>
        <v>0.20445870352753015</v>
      </c>
      <c r="F93" s="729">
        <f>'Recycling - Case 1'!BF103</f>
        <v>0.25930894963829509</v>
      </c>
      <c r="G93" s="729">
        <f>'Recycling - Case 1'!BG103</f>
        <v>6.9441973861519388E-2</v>
      </c>
      <c r="H93" s="729">
        <f>'Recycling - Case 1'!BH103</f>
        <v>0</v>
      </c>
      <c r="I93" s="729">
        <f>'Recycling - Case 1'!BI103</f>
        <v>0</v>
      </c>
      <c r="J93" s="729">
        <f>'Recycling - Case 1'!BJ103</f>
        <v>0</v>
      </c>
      <c r="K93" s="729">
        <f>'Recycling - Case 1'!BK103</f>
        <v>0.46679037297265541</v>
      </c>
      <c r="L93" s="730">
        <f t="shared" si="100"/>
        <v>1</v>
      </c>
      <c r="N93" s="740">
        <f t="shared" si="57"/>
        <v>8092.9230168287222</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0.11030738500139631</v>
      </c>
      <c r="Q93" s="734">
        <f t="shared" si="62"/>
        <v>353.65017317465652</v>
      </c>
      <c r="R93" s="734">
        <f t="shared" si="63"/>
        <v>353.65017317465652</v>
      </c>
      <c r="S93" s="737">
        <f t="shared" si="64"/>
        <v>0</v>
      </c>
      <c r="T93" s="734">
        <f t="shared" si="65"/>
        <v>12615.352392603181</v>
      </c>
      <c r="U93" s="734">
        <f t="shared" si="66"/>
        <v>628.67091622642772</v>
      </c>
      <c r="V93" s="741">
        <f t="shared" si="67"/>
        <v>419.1139441509518</v>
      </c>
      <c r="W93" s="383"/>
      <c r="X93" s="885">
        <f>'Recycling - Case 1'!AM143</f>
        <v>347.89986594153726</v>
      </c>
      <c r="Y93" s="886">
        <f>Parameters!S194</f>
        <v>0.71500000000000008</v>
      </c>
      <c r="Z93" s="887">
        <f t="shared" si="68"/>
        <v>0.4</v>
      </c>
      <c r="AA93" s="888">
        <f t="shared" si="69"/>
        <v>49.749680829639829</v>
      </c>
      <c r="AB93" s="888">
        <f t="shared" si="70"/>
        <v>49.749680829639829</v>
      </c>
      <c r="AC93" s="311">
        <f t="shared" si="71"/>
        <v>0</v>
      </c>
      <c r="AD93" s="888">
        <f t="shared" si="72"/>
        <v>8596.9107522088998</v>
      </c>
      <c r="AE93" s="888">
        <f t="shared" si="73"/>
        <v>438.22231903208689</v>
      </c>
      <c r="AF93" s="889">
        <f t="shared" si="74"/>
        <v>292.14821268805792</v>
      </c>
      <c r="AH93" s="885">
        <f>'Recycling - Case 1'!AM183</f>
        <v>347.89986594153726</v>
      </c>
      <c r="AI93" s="886">
        <f>Parameters!S194</f>
        <v>0.71500000000000008</v>
      </c>
      <c r="AJ93" s="887">
        <f t="shared" si="75"/>
        <v>0.4</v>
      </c>
      <c r="AK93" s="888">
        <f t="shared" si="76"/>
        <v>49.749680829639829</v>
      </c>
      <c r="AL93" s="888">
        <f t="shared" si="77"/>
        <v>49.749680829639829</v>
      </c>
      <c r="AM93" s="311">
        <f t="shared" si="78"/>
        <v>0</v>
      </c>
      <c r="AN93" s="888">
        <f t="shared" si="79"/>
        <v>8596.9107522088998</v>
      </c>
      <c r="AO93" s="888">
        <f t="shared" si="80"/>
        <v>438.22231903208689</v>
      </c>
      <c r="AP93" s="889">
        <f t="shared" si="81"/>
        <v>292.14821268805792</v>
      </c>
      <c r="AR93" s="901">
        <f>'Recycling - Case 1'!G103</f>
        <v>570.59384848565696</v>
      </c>
      <c r="AS93" s="920">
        <v>1</v>
      </c>
      <c r="AT93" s="902">
        <f t="shared" si="82"/>
        <v>0.05</v>
      </c>
      <c r="AU93" s="903">
        <f t="shared" si="83"/>
        <v>14.264846212141425</v>
      </c>
      <c r="AV93" s="903">
        <f t="shared" si="84"/>
        <v>14.264846212141425</v>
      </c>
      <c r="AW93" s="279">
        <f t="shared" si="85"/>
        <v>0</v>
      </c>
      <c r="AX93" s="903">
        <f t="shared" si="51"/>
        <v>169.80213380755555</v>
      </c>
      <c r="AY93" s="903">
        <f t="shared" si="54"/>
        <v>9.6178887239328095</v>
      </c>
      <c r="AZ93" s="921">
        <f t="shared" si="52"/>
        <v>6.4119258159552066</v>
      </c>
      <c r="BB93" s="913">
        <f t="shared" si="86"/>
        <v>419.1139441509518</v>
      </c>
      <c r="BC93" s="914">
        <f t="shared" si="87"/>
        <v>292.14821268805792</v>
      </c>
      <c r="BD93" s="933">
        <f t="shared" si="101"/>
        <v>6.4119258159552066</v>
      </c>
      <c r="BE93" s="914">
        <f t="shared" si="60"/>
        <v>717.67408265496499</v>
      </c>
      <c r="BF93" s="145">
        <v>0</v>
      </c>
      <c r="BG93" s="927">
        <f t="shared" si="88"/>
        <v>717.67408265496499</v>
      </c>
      <c r="BI93" s="913">
        <f t="shared" si="89"/>
        <v>419.1139441509518</v>
      </c>
      <c r="BJ93" s="914">
        <f t="shared" si="90"/>
        <v>292.14821268805792</v>
      </c>
      <c r="BK93" s="933">
        <f t="shared" si="91"/>
        <v>6.4119258159552066</v>
      </c>
      <c r="BL93" s="914">
        <f t="shared" si="61"/>
        <v>717.67408265496499</v>
      </c>
      <c r="BM93" s="145">
        <v>0</v>
      </c>
      <c r="BN93" s="927">
        <f t="shared" si="92"/>
        <v>717.67408265496499</v>
      </c>
    </row>
    <row r="94" spans="1:66">
      <c r="A94" s="805">
        <f>'Input data'!A124</f>
        <v>2024</v>
      </c>
      <c r="B94" s="728">
        <f>'Input data'!B124</f>
        <v>62.087792487153699</v>
      </c>
      <c r="C94" s="728">
        <f>'Recycling - Case 1'!AK104/B94</f>
        <v>367.98420446405902</v>
      </c>
      <c r="D94" s="729">
        <f>'Recycling - Case 1'!AM104</f>
        <v>0.33582564658939912</v>
      </c>
      <c r="E94" s="729">
        <f>'Recycling - Case 1'!BE104</f>
        <v>0.19786063663408232</v>
      </c>
      <c r="F94" s="729">
        <f>'Recycling - Case 1'!BF104</f>
        <v>0.25094081579872596</v>
      </c>
      <c r="G94" s="729">
        <f>'Recycling - Case 1'!BG104</f>
        <v>7.1380093645311199E-2</v>
      </c>
      <c r="H94" s="729">
        <f>'Recycling - Case 1'!BH104</f>
        <v>0</v>
      </c>
      <c r="I94" s="729">
        <f>'Recycling - Case 1'!BI104</f>
        <v>0</v>
      </c>
      <c r="J94" s="729">
        <f>'Recycling - Case 1'!BJ104</f>
        <v>0</v>
      </c>
      <c r="K94" s="729">
        <f>'Recycling - Case 1'!BK104</f>
        <v>0.47981845392188066</v>
      </c>
      <c r="L94" s="730">
        <f t="shared" si="100"/>
        <v>1.0000000000000002</v>
      </c>
      <c r="N94" s="740">
        <f t="shared" si="57"/>
        <v>7672.7183375332424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0.10841929611298202</v>
      </c>
      <c r="Q94" s="734">
        <f t="shared" si="62"/>
        <v>333.86811454256326</v>
      </c>
      <c r="R94" s="734">
        <f t="shared" si="63"/>
        <v>333.86811454256326</v>
      </c>
      <c r="S94" s="737">
        <f t="shared" si="64"/>
        <v>0</v>
      </c>
      <c r="T94" s="734">
        <f t="shared" si="65"/>
        <v>12333.962510832192</v>
      </c>
      <c r="U94" s="734">
        <f t="shared" si="66"/>
        <v>615.25799631355153</v>
      </c>
      <c r="V94" s="741">
        <f t="shared" si="67"/>
        <v>410.17199754236771</v>
      </c>
      <c r="W94" s="383"/>
      <c r="X94" s="885">
        <f>'Recycling - Case 1'!AM144</f>
        <v>208.53792891454634</v>
      </c>
      <c r="Y94" s="886">
        <f>Parameters!S195</f>
        <v>0.71500000000000008</v>
      </c>
      <c r="Z94" s="887">
        <f t="shared" si="68"/>
        <v>0.4</v>
      </c>
      <c r="AA94" s="888">
        <f t="shared" si="69"/>
        <v>29.820923834780132</v>
      </c>
      <c r="AB94" s="888">
        <f t="shared" si="70"/>
        <v>29.820923834780132</v>
      </c>
      <c r="AC94" s="311">
        <f t="shared" si="71"/>
        <v>0</v>
      </c>
      <c r="AD94" s="888">
        <f t="shared" si="72"/>
        <v>8207.4553911424518</v>
      </c>
      <c r="AE94" s="888">
        <f t="shared" si="73"/>
        <v>419.2762849012276</v>
      </c>
      <c r="AF94" s="889">
        <f t="shared" si="74"/>
        <v>279.51752326748505</v>
      </c>
      <c r="AH94" s="885">
        <f>'Recycling - Case 1'!AM184</f>
        <v>208.53792891454634</v>
      </c>
      <c r="AI94" s="886">
        <f>Parameters!S195</f>
        <v>0.71500000000000008</v>
      </c>
      <c r="AJ94" s="887">
        <f t="shared" si="75"/>
        <v>0.4</v>
      </c>
      <c r="AK94" s="888">
        <f t="shared" si="76"/>
        <v>29.820923834780132</v>
      </c>
      <c r="AL94" s="888">
        <f t="shared" si="77"/>
        <v>29.820923834780132</v>
      </c>
      <c r="AM94" s="311">
        <f t="shared" si="78"/>
        <v>0</v>
      </c>
      <c r="AN94" s="888">
        <f t="shared" si="79"/>
        <v>8207.4553911424518</v>
      </c>
      <c r="AO94" s="888">
        <f t="shared" si="80"/>
        <v>419.2762849012276</v>
      </c>
      <c r="AP94" s="889">
        <f t="shared" si="81"/>
        <v>279.51752326748505</v>
      </c>
      <c r="AR94" s="901">
        <f>'Recycling - Case 1'!G104</f>
        <v>581.63529038075126</v>
      </c>
      <c r="AS94" s="920">
        <v>1</v>
      </c>
      <c r="AT94" s="902">
        <f t="shared" si="82"/>
        <v>0.05</v>
      </c>
      <c r="AU94" s="903">
        <f t="shared" si="83"/>
        <v>14.540882259518781</v>
      </c>
      <c r="AV94" s="903">
        <f t="shared" si="84"/>
        <v>14.540882259518781</v>
      </c>
      <c r="AW94" s="279">
        <f t="shared" si="85"/>
        <v>0</v>
      </c>
      <c r="AX94" s="903">
        <f t="shared" si="51"/>
        <v>174.45450960640153</v>
      </c>
      <c r="AY94" s="903">
        <f t="shared" si="54"/>
        <v>9.8885064606728061</v>
      </c>
      <c r="AZ94" s="921">
        <f t="shared" si="52"/>
        <v>6.5923376404485374</v>
      </c>
      <c r="BB94" s="913">
        <f t="shared" si="86"/>
        <v>410.17199754236771</v>
      </c>
      <c r="BC94" s="914">
        <f t="shared" si="87"/>
        <v>279.51752326748505</v>
      </c>
      <c r="BD94" s="933">
        <f t="shared" si="101"/>
        <v>6.5923376404485374</v>
      </c>
      <c r="BE94" s="914">
        <f t="shared" si="60"/>
        <v>696.28185845030134</v>
      </c>
      <c r="BF94" s="145">
        <v>0</v>
      </c>
      <c r="BG94" s="927">
        <f t="shared" si="88"/>
        <v>696.28185845030134</v>
      </c>
      <c r="BI94" s="913">
        <f t="shared" si="89"/>
        <v>410.17199754236771</v>
      </c>
      <c r="BJ94" s="914">
        <f t="shared" si="90"/>
        <v>279.51752326748505</v>
      </c>
      <c r="BK94" s="933">
        <f t="shared" si="91"/>
        <v>6.5923376404485374</v>
      </c>
      <c r="BL94" s="914">
        <f t="shared" si="61"/>
        <v>696.28185845030134</v>
      </c>
      <c r="BM94" s="145">
        <v>0</v>
      </c>
      <c r="BN94" s="927">
        <f t="shared" si="92"/>
        <v>696.28185845030134</v>
      </c>
    </row>
    <row r="95" spans="1:66">
      <c r="A95" s="805">
        <f>'Input data'!A125</f>
        <v>2025</v>
      </c>
      <c r="B95" s="728">
        <f>'Input data'!B125</f>
        <v>62.802682000000026</v>
      </c>
      <c r="C95" s="728">
        <f>'Recycling - Case 1'!AK105/B95</f>
        <v>362.62604818704528</v>
      </c>
      <c r="D95" s="729">
        <f>'Recycling - Case 1'!AM105</f>
        <v>0.31941544655678239</v>
      </c>
      <c r="E95" s="729">
        <f>'Recycling - Case 1'!BE105</f>
        <v>0.19105303960501019</v>
      </c>
      <c r="F95" s="729">
        <f>'Recycling - Case 1'!BF105</f>
        <v>0.24230694106161171</v>
      </c>
      <c r="G95" s="729">
        <f>'Recycling - Case 1'!BG105</f>
        <v>7.33797609259247E-2</v>
      </c>
      <c r="H95" s="729">
        <f>'Recycling - Case 1'!BH105</f>
        <v>0</v>
      </c>
      <c r="I95" s="729">
        <f>'Recycling - Case 1'!BI105</f>
        <v>0</v>
      </c>
      <c r="J95" s="729">
        <f>'Recycling - Case 1'!BJ105</f>
        <v>0</v>
      </c>
      <c r="K95" s="729">
        <f>'Recycling - Case 1'!BK105</f>
        <v>0.49326025840745336</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0.10647124852344376</v>
      </c>
      <c r="Q95" s="734">
        <f t="shared" si="62"/>
        <v>314.86695798985409</v>
      </c>
      <c r="R95" s="734">
        <f t="shared" si="63"/>
        <v>314.86695798985409</v>
      </c>
      <c r="S95" s="737">
        <f t="shared" si="64"/>
        <v>0</v>
      </c>
      <c r="T95" s="734">
        <f t="shared" si="65"/>
        <v>12047.295018982142</v>
      </c>
      <c r="U95" s="734">
        <f t="shared" si="66"/>
        <v>601.53444983990437</v>
      </c>
      <c r="V95" s="741">
        <f t="shared" si="67"/>
        <v>401.02296655993626</v>
      </c>
      <c r="W95" s="383"/>
      <c r="X95" s="885">
        <f>'Recycling - Case 1'!AM145</f>
        <v>120.39288422174172</v>
      </c>
      <c r="Y95" s="886">
        <f>Parameters!S196</f>
        <v>0.71500000000000008</v>
      </c>
      <c r="Z95" s="887">
        <f t="shared" si="68"/>
        <v>0.4</v>
      </c>
      <c r="AA95" s="888">
        <f t="shared" si="69"/>
        <v>17.216182443709069</v>
      </c>
      <c r="AB95" s="888">
        <f t="shared" si="70"/>
        <v>17.216182443709069</v>
      </c>
      <c r="AC95" s="311">
        <f t="shared" si="71"/>
        <v>0</v>
      </c>
      <c r="AD95" s="888">
        <f t="shared" si="72"/>
        <v>7824.3892507754263</v>
      </c>
      <c r="AE95" s="888">
        <f t="shared" si="73"/>
        <v>400.28232281073474</v>
      </c>
      <c r="AF95" s="889">
        <f t="shared" si="74"/>
        <v>266.85488187382316</v>
      </c>
      <c r="AH95" s="885">
        <f>'Recycling - Case 1'!AM185</f>
        <v>120.39288422174172</v>
      </c>
      <c r="AI95" s="886">
        <f>Parameters!S196</f>
        <v>0.71500000000000008</v>
      </c>
      <c r="AJ95" s="887">
        <f t="shared" si="75"/>
        <v>0.4</v>
      </c>
      <c r="AK95" s="888">
        <f t="shared" si="76"/>
        <v>17.216182443709069</v>
      </c>
      <c r="AL95" s="888">
        <f t="shared" si="77"/>
        <v>17.216182443709069</v>
      </c>
      <c r="AM95" s="311">
        <f t="shared" si="78"/>
        <v>0</v>
      </c>
      <c r="AN95" s="888">
        <f t="shared" si="79"/>
        <v>7824.3892507754263</v>
      </c>
      <c r="AO95" s="888">
        <f t="shared" si="80"/>
        <v>400.28232281073474</v>
      </c>
      <c r="AP95" s="889">
        <f t="shared" si="81"/>
        <v>266.85488187382316</v>
      </c>
      <c r="AR95" s="901">
        <f>'Recycling - Case 1'!G105</f>
        <v>592.85535125722038</v>
      </c>
      <c r="AS95" s="920">
        <v>1</v>
      </c>
      <c r="AT95" s="902">
        <f t="shared" si="82"/>
        <v>0.05</v>
      </c>
      <c r="AU95" s="903">
        <f t="shared" si="83"/>
        <v>14.82138378143051</v>
      </c>
      <c r="AV95" s="903">
        <f t="shared" si="84"/>
        <v>14.82138378143051</v>
      </c>
      <c r="AW95" s="279">
        <f t="shared" si="85"/>
        <v>0</v>
      </c>
      <c r="AX95" s="903">
        <f t="shared" si="51"/>
        <v>179.11645365257209</v>
      </c>
      <c r="AY95" s="903">
        <f t="shared" si="54"/>
        <v>10.159439735259955</v>
      </c>
      <c r="AZ95" s="921">
        <f t="shared" si="52"/>
        <v>6.7729598235066364</v>
      </c>
      <c r="BB95" s="913">
        <f t="shared" si="86"/>
        <v>401.02296655993626</v>
      </c>
      <c r="BC95" s="914">
        <f t="shared" si="87"/>
        <v>266.85488187382316</v>
      </c>
      <c r="BD95" s="933">
        <f t="shared" si="101"/>
        <v>6.7729598235066364</v>
      </c>
      <c r="BE95" s="914">
        <f t="shared" si="60"/>
        <v>674.65080825726614</v>
      </c>
      <c r="BF95" s="145">
        <v>0</v>
      </c>
      <c r="BG95" s="927">
        <f t="shared" si="88"/>
        <v>674.65080825726614</v>
      </c>
      <c r="BI95" s="913">
        <f t="shared" si="89"/>
        <v>401.02296655993626</v>
      </c>
      <c r="BJ95" s="914">
        <f t="shared" si="90"/>
        <v>266.85488187382316</v>
      </c>
      <c r="BK95" s="933">
        <f t="shared" si="91"/>
        <v>6.7729598235066364</v>
      </c>
      <c r="BL95" s="914">
        <f t="shared" si="61"/>
        <v>674.65080825726614</v>
      </c>
      <c r="BM95" s="145">
        <v>0</v>
      </c>
      <c r="BN95" s="927">
        <f t="shared" si="92"/>
        <v>674.65080825726614</v>
      </c>
    </row>
    <row r="96" spans="1:66">
      <c r="A96" s="805">
        <f>'Input data'!A126</f>
        <v>2026</v>
      </c>
      <c r="B96" s="728">
        <f>'Input data'!B126</f>
        <v>63.421065342005143</v>
      </c>
      <c r="C96" s="728">
        <f>'Recycling - Case 1'!AK106/B96</f>
        <v>358.12652247335149</v>
      </c>
      <c r="D96" s="729">
        <f>'Recycling - Case 1'!AM106</f>
        <v>0.30364555649113156</v>
      </c>
      <c r="E96" s="729">
        <f>'Recycling - Case 1'!BE106</f>
        <v>0.18391066082284532</v>
      </c>
      <c r="F96" s="729">
        <f>'Recycling - Case 1'!BF106</f>
        <v>0.23324847249085384</v>
      </c>
      <c r="G96" s="729">
        <f>'Recycling - Case 1'!BG106</f>
        <v>7.5477767182089692E-2</v>
      </c>
      <c r="H96" s="729">
        <f>'Recycling - Case 1'!BH106</f>
        <v>0</v>
      </c>
      <c r="I96" s="729">
        <f>'Recycling - Case 1'!BI106</f>
        <v>0</v>
      </c>
      <c r="J96" s="729">
        <f>'Recycling - Case 1'!BJ106</f>
        <v>0</v>
      </c>
      <c r="K96" s="729">
        <f>'Recycling - Case 1'!BK106</f>
        <v>0.5073630995042111</v>
      </c>
      <c r="L96" s="730">
        <f t="shared" si="100"/>
        <v>1</v>
      </c>
      <c r="N96" s="740">
        <f t="shared" si="57"/>
        <v>6896.6303447470355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0.10442740049443346</v>
      </c>
      <c r="Q96" s="734">
        <f t="shared" si="62"/>
        <v>296.52733853754046</v>
      </c>
      <c r="R96" s="734">
        <f t="shared" si="63"/>
        <v>296.52733853754046</v>
      </c>
      <c r="S96" s="737">
        <f t="shared" si="64"/>
        <v>0</v>
      </c>
      <c r="T96" s="734">
        <f t="shared" si="65"/>
        <v>11756.268846234241</v>
      </c>
      <c r="U96" s="734">
        <f t="shared" si="66"/>
        <v>587.55351128544055</v>
      </c>
      <c r="V96" s="741">
        <f t="shared" si="67"/>
        <v>391.70234085696035</v>
      </c>
      <c r="W96" s="383"/>
      <c r="X96" s="885">
        <f>'Recycling - Case 1'!AM146</f>
        <v>79.405581396778629</v>
      </c>
      <c r="Y96" s="886">
        <f>Parameters!S197</f>
        <v>0.71500000000000008</v>
      </c>
      <c r="Z96" s="887">
        <f t="shared" si="68"/>
        <v>0.4</v>
      </c>
      <c r="AA96" s="888">
        <f t="shared" si="69"/>
        <v>11.354998139739346</v>
      </c>
      <c r="AB96" s="888">
        <f t="shared" si="70"/>
        <v>11.354998139739346</v>
      </c>
      <c r="AC96" s="311">
        <f t="shared" si="71"/>
        <v>0</v>
      </c>
      <c r="AD96" s="888">
        <f t="shared" si="72"/>
        <v>7454.1442822244207</v>
      </c>
      <c r="AE96" s="888">
        <f t="shared" si="73"/>
        <v>381.59996669074462</v>
      </c>
      <c r="AF96" s="889">
        <f t="shared" si="74"/>
        <v>254.39997779382975</v>
      </c>
      <c r="AH96" s="885">
        <f>'Recycling - Case 1'!AM186</f>
        <v>79.405581396778629</v>
      </c>
      <c r="AI96" s="886">
        <f>Parameters!S197</f>
        <v>0.71500000000000008</v>
      </c>
      <c r="AJ96" s="887">
        <f t="shared" si="75"/>
        <v>0.4</v>
      </c>
      <c r="AK96" s="888">
        <f t="shared" si="76"/>
        <v>11.354998139739346</v>
      </c>
      <c r="AL96" s="888">
        <f t="shared" si="77"/>
        <v>11.354998139739346</v>
      </c>
      <c r="AM96" s="311">
        <f t="shared" si="78"/>
        <v>0</v>
      </c>
      <c r="AN96" s="888">
        <f t="shared" si="79"/>
        <v>7454.1442822244207</v>
      </c>
      <c r="AO96" s="888">
        <f t="shared" si="80"/>
        <v>381.59996669074462</v>
      </c>
      <c r="AP96" s="889">
        <f t="shared" si="81"/>
        <v>254.39997779382975</v>
      </c>
      <c r="AR96" s="901">
        <f>'Recycling - Case 1'!G106</f>
        <v>603.26041842938696</v>
      </c>
      <c r="AS96" s="920">
        <v>1</v>
      </c>
      <c r="AT96" s="902">
        <f t="shared" si="82"/>
        <v>0.05</v>
      </c>
      <c r="AU96" s="903">
        <f t="shared" si="83"/>
        <v>15.081510460734675</v>
      </c>
      <c r="AV96" s="903">
        <f t="shared" si="84"/>
        <v>15.081510460734675</v>
      </c>
      <c r="AW96" s="279">
        <f t="shared" si="85"/>
        <v>0</v>
      </c>
      <c r="AX96" s="903">
        <f t="shared" si="51"/>
        <v>183.76703389211394</v>
      </c>
      <c r="AY96" s="903">
        <f t="shared" si="54"/>
        <v>10.430930221192833</v>
      </c>
      <c r="AZ96" s="921">
        <f t="shared" si="52"/>
        <v>6.9539534807952217</v>
      </c>
      <c r="BB96" s="913">
        <f t="shared" si="86"/>
        <v>391.70234085696035</v>
      </c>
      <c r="BC96" s="914">
        <f t="shared" si="87"/>
        <v>254.39997779382975</v>
      </c>
      <c r="BD96" s="933">
        <f t="shared" si="101"/>
        <v>6.9539534807952217</v>
      </c>
      <c r="BE96" s="914">
        <f t="shared" si="60"/>
        <v>653.05627213158527</v>
      </c>
      <c r="BF96" s="145">
        <v>0</v>
      </c>
      <c r="BG96" s="927">
        <f t="shared" si="88"/>
        <v>653.05627213158527</v>
      </c>
      <c r="BI96" s="913">
        <f t="shared" si="89"/>
        <v>391.70234085696035</v>
      </c>
      <c r="BJ96" s="914">
        <f t="shared" si="90"/>
        <v>254.39997779382975</v>
      </c>
      <c r="BK96" s="933">
        <f t="shared" si="91"/>
        <v>6.9539534807952217</v>
      </c>
      <c r="BL96" s="914">
        <f t="shared" si="61"/>
        <v>653.05627213158527</v>
      </c>
      <c r="BM96" s="145">
        <v>0</v>
      </c>
      <c r="BN96" s="927">
        <f t="shared" si="92"/>
        <v>653.05627213158527</v>
      </c>
    </row>
    <row r="97" spans="1:66">
      <c r="A97" s="805">
        <f>'Input data'!A127</f>
        <v>2027</v>
      </c>
      <c r="B97" s="728">
        <f>'Input data'!B127</f>
        <v>64.045537563425796</v>
      </c>
      <c r="C97" s="728">
        <f>'Recycling - Case 1'!AK107/B97</f>
        <v>354.0279761281858</v>
      </c>
      <c r="D97" s="729">
        <f>'Recycling - Case 1'!AM107</f>
        <v>0.28837282873747871</v>
      </c>
      <c r="E97" s="729">
        <f>'Recycling - Case 1'!BE107</f>
        <v>0.17650606330581883</v>
      </c>
      <c r="F97" s="729">
        <f>'Recycling - Case 1'!BF107</f>
        <v>0.22385743962452295</v>
      </c>
      <c r="G97" s="729">
        <f>'Recycling - Case 1'!BG107</f>
        <v>7.7652797713079855E-2</v>
      </c>
      <c r="H97" s="729">
        <f>'Recycling - Case 1'!BH107</f>
        <v>0</v>
      </c>
      <c r="I97" s="729">
        <f>'Recycling - Case 1'!BI107</f>
        <v>0</v>
      </c>
      <c r="J97" s="729">
        <f>'Recycling - Case 1'!BJ107</f>
        <v>0</v>
      </c>
      <c r="K97" s="729">
        <f>'Recycling - Case 1'!BK107</f>
        <v>0.52198369935657829</v>
      </c>
      <c r="L97" s="730">
        <f t="shared" si="100"/>
        <v>1</v>
      </c>
      <c r="N97" s="740">
        <f t="shared" si="57"/>
        <v>6538.5401545638706</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0.10230851650600936</v>
      </c>
      <c r="Q97" s="734">
        <f t="shared" si="62"/>
        <v>278.90000160307255</v>
      </c>
      <c r="R97" s="734">
        <f t="shared" si="63"/>
        <v>278.90000160307255</v>
      </c>
      <c r="S97" s="737">
        <f t="shared" si="64"/>
        <v>0</v>
      </c>
      <c r="T97" s="734">
        <f t="shared" si="65"/>
        <v>11461.808850482144</v>
      </c>
      <c r="U97" s="734">
        <f t="shared" si="66"/>
        <v>573.35999735517078</v>
      </c>
      <c r="V97" s="741">
        <f t="shared" si="67"/>
        <v>382.23999823678054</v>
      </c>
      <c r="W97" s="383"/>
      <c r="X97" s="885">
        <f>'Recycling - Case 1'!AM147</f>
        <v>0</v>
      </c>
      <c r="Y97" s="886">
        <f>Parameters!S198</f>
        <v>0.71500000000000008</v>
      </c>
      <c r="Z97" s="887">
        <f t="shared" si="68"/>
        <v>0.4</v>
      </c>
      <c r="AA97" s="888">
        <f t="shared" si="69"/>
        <v>0</v>
      </c>
      <c r="AB97" s="888">
        <f t="shared" si="70"/>
        <v>0</v>
      </c>
      <c r="AC97" s="311">
        <f t="shared" si="71"/>
        <v>0</v>
      </c>
      <c r="AD97" s="888">
        <f t="shared" si="72"/>
        <v>7090.6013757256233</v>
      </c>
      <c r="AE97" s="888">
        <f t="shared" si="73"/>
        <v>363.54290649879704</v>
      </c>
      <c r="AF97" s="889">
        <f t="shared" si="74"/>
        <v>242.3619376658647</v>
      </c>
      <c r="AH97" s="885">
        <f>'Recycling - Case 1'!AM187</f>
        <v>0</v>
      </c>
      <c r="AI97" s="886">
        <f>Parameters!S198</f>
        <v>0.71500000000000008</v>
      </c>
      <c r="AJ97" s="887">
        <f t="shared" si="75"/>
        <v>0.4</v>
      </c>
      <c r="AK97" s="888">
        <f t="shared" si="76"/>
        <v>0</v>
      </c>
      <c r="AL97" s="888">
        <f t="shared" si="77"/>
        <v>0</v>
      </c>
      <c r="AM97" s="311">
        <f t="shared" si="78"/>
        <v>0</v>
      </c>
      <c r="AN97" s="888">
        <f t="shared" si="79"/>
        <v>7090.6013757256233</v>
      </c>
      <c r="AO97" s="888">
        <f t="shared" si="80"/>
        <v>363.54290649879704</v>
      </c>
      <c r="AP97" s="889">
        <f t="shared" si="81"/>
        <v>242.3619376658647</v>
      </c>
      <c r="AR97" s="901">
        <f>'Recycling - Case 1'!G107</f>
        <v>613.81291267606582</v>
      </c>
      <c r="AS97" s="920">
        <v>1</v>
      </c>
      <c r="AT97" s="902">
        <f t="shared" si="82"/>
        <v>0.05</v>
      </c>
      <c r="AU97" s="903">
        <f t="shared" si="83"/>
        <v>15.345322816901646</v>
      </c>
      <c r="AV97" s="903">
        <f t="shared" si="84"/>
        <v>15.345322816901646</v>
      </c>
      <c r="AW97" s="279">
        <f t="shared" si="85"/>
        <v>0</v>
      </c>
      <c r="AX97" s="903">
        <f t="shared" si="51"/>
        <v>188.41059777846917</v>
      </c>
      <c r="AY97" s="903">
        <f t="shared" si="54"/>
        <v>10.701758930546429</v>
      </c>
      <c r="AZ97" s="921">
        <f t="shared" si="52"/>
        <v>7.1345059536976194</v>
      </c>
      <c r="BB97" s="913">
        <f t="shared" si="86"/>
        <v>382.23999823678054</v>
      </c>
      <c r="BC97" s="914">
        <f t="shared" si="87"/>
        <v>242.3619376658647</v>
      </c>
      <c r="BD97" s="933">
        <f t="shared" si="101"/>
        <v>7.1345059536976194</v>
      </c>
      <c r="BE97" s="914">
        <f t="shared" si="60"/>
        <v>631.73644185634282</v>
      </c>
      <c r="BF97" s="145">
        <v>0</v>
      </c>
      <c r="BG97" s="927">
        <f t="shared" si="88"/>
        <v>631.73644185634282</v>
      </c>
      <c r="BI97" s="913">
        <f t="shared" si="89"/>
        <v>382.23999823678054</v>
      </c>
      <c r="BJ97" s="914">
        <f t="shared" si="90"/>
        <v>242.3619376658647</v>
      </c>
      <c r="BK97" s="933">
        <f t="shared" si="91"/>
        <v>7.1345059536976194</v>
      </c>
      <c r="BL97" s="914">
        <f t="shared" si="61"/>
        <v>631.73644185634282</v>
      </c>
      <c r="BM97" s="145">
        <v>0</v>
      </c>
      <c r="BN97" s="927">
        <f t="shared" si="92"/>
        <v>631.73644185634282</v>
      </c>
    </row>
    <row r="98" spans="1:66">
      <c r="A98" s="805">
        <f>'Input data'!A128</f>
        <v>2028</v>
      </c>
      <c r="B98" s="728">
        <f>'Input data'!B128</f>
        <v>64.676158618096451</v>
      </c>
      <c r="C98" s="728">
        <f>'Recycling - Case 1'!AK108/B98</f>
        <v>344.55360296471088</v>
      </c>
      <c r="D98" s="729">
        <f>'Recycling - Case 1'!AM108</f>
        <v>0.27817854327248531</v>
      </c>
      <c r="E98" s="729">
        <f>'Recycling - Case 1'!BE108</f>
        <v>0.17731856912076779</v>
      </c>
      <c r="F98" s="729">
        <f>'Recycling - Case 1'!BF108</f>
        <v>0.22488791681045028</v>
      </c>
      <c r="G98" s="729">
        <f>'Recycling - Case 1'!BG108</f>
        <v>7.7414131809895093E-2</v>
      </c>
      <c r="H98" s="729">
        <f>'Recycling - Case 1'!BH108</f>
        <v>0</v>
      </c>
      <c r="I98" s="729">
        <f>'Recycling - Case 1'!BI108</f>
        <v>0</v>
      </c>
      <c r="J98" s="729">
        <f>'Recycling - Case 1'!BJ108</f>
        <v>0</v>
      </c>
      <c r="K98" s="729">
        <f>'Recycling - Case 1'!BK108</f>
        <v>0.52037938225888702</v>
      </c>
      <c r="L98" s="730">
        <f t="shared" si="100"/>
        <v>1.0000000000000002</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0.10254102145416327</v>
      </c>
      <c r="Q98" s="734">
        <f t="shared" si="62"/>
        <v>268.32025742533665</v>
      </c>
      <c r="R98" s="734">
        <f t="shared" si="63"/>
        <v>268.32025742533665</v>
      </c>
      <c r="S98" s="737">
        <f t="shared" si="64"/>
        <v>0</v>
      </c>
      <c r="T98" s="734">
        <f t="shared" si="65"/>
        <v>11171.130094006658</v>
      </c>
      <c r="U98" s="734">
        <f t="shared" si="66"/>
        <v>558.99901390082368</v>
      </c>
      <c r="V98" s="741">
        <f t="shared" si="67"/>
        <v>372.66600926721577</v>
      </c>
      <c r="W98" s="383"/>
      <c r="X98" s="885">
        <f>'Recycling - Case 1'!AM148</f>
        <v>0</v>
      </c>
      <c r="Y98" s="886">
        <f>Parameters!S199</f>
        <v>0.71500000000000008</v>
      </c>
      <c r="Z98" s="887">
        <f t="shared" si="68"/>
        <v>0.4</v>
      </c>
      <c r="AA98" s="888">
        <f t="shared" si="69"/>
        <v>0</v>
      </c>
      <c r="AB98" s="888">
        <f t="shared" si="70"/>
        <v>0</v>
      </c>
      <c r="AC98" s="311">
        <f t="shared" si="71"/>
        <v>0</v>
      </c>
      <c r="AD98" s="888">
        <f t="shared" si="72"/>
        <v>6744.7886659954556</v>
      </c>
      <c r="AE98" s="888">
        <f t="shared" si="73"/>
        <v>345.81270973016757</v>
      </c>
      <c r="AF98" s="889">
        <f t="shared" si="74"/>
        <v>230.54180648677837</v>
      </c>
      <c r="AH98" s="885">
        <f>'Recycling - Case 1'!AM188</f>
        <v>0</v>
      </c>
      <c r="AI98" s="886">
        <f>Parameters!S199</f>
        <v>0.71500000000000008</v>
      </c>
      <c r="AJ98" s="887">
        <f t="shared" si="75"/>
        <v>0.4</v>
      </c>
      <c r="AK98" s="888">
        <f t="shared" si="76"/>
        <v>0</v>
      </c>
      <c r="AL98" s="888">
        <f t="shared" si="77"/>
        <v>0</v>
      </c>
      <c r="AM98" s="311">
        <f t="shared" si="78"/>
        <v>0</v>
      </c>
      <c r="AN98" s="888">
        <f t="shared" si="79"/>
        <v>6744.7886659954556</v>
      </c>
      <c r="AO98" s="888">
        <f t="shared" si="80"/>
        <v>345.81270973016757</v>
      </c>
      <c r="AP98" s="889">
        <f t="shared" si="81"/>
        <v>230.54180648677837</v>
      </c>
      <c r="AR98" s="901">
        <f>'Recycling - Case 1'!G108</f>
        <v>624.5147284656291</v>
      </c>
      <c r="AS98" s="920">
        <v>1</v>
      </c>
      <c r="AT98" s="902">
        <f t="shared" si="82"/>
        <v>0.05</v>
      </c>
      <c r="AU98" s="903">
        <f t="shared" si="83"/>
        <v>15.612868211640729</v>
      </c>
      <c r="AV98" s="903">
        <f t="shared" si="84"/>
        <v>15.612868211640729</v>
      </c>
      <c r="AW98" s="279">
        <f t="shared" si="85"/>
        <v>0</v>
      </c>
      <c r="AX98" s="903">
        <f t="shared" si="51"/>
        <v>193.05128695081021</v>
      </c>
      <c r="AY98" s="903">
        <f t="shared" si="54"/>
        <v>10.972179039299665</v>
      </c>
      <c r="AZ98" s="921">
        <f t="shared" si="52"/>
        <v>7.3147860261997764</v>
      </c>
      <c r="BB98" s="913">
        <f t="shared" si="86"/>
        <v>372.66600926721577</v>
      </c>
      <c r="BC98" s="914">
        <f t="shared" si="87"/>
        <v>230.54180648677837</v>
      </c>
      <c r="BD98" s="933">
        <f t="shared" si="101"/>
        <v>7.3147860261997764</v>
      </c>
      <c r="BE98" s="914">
        <f t="shared" si="60"/>
        <v>610.5226017801939</v>
      </c>
      <c r="BF98" s="145">
        <v>0</v>
      </c>
      <c r="BG98" s="927">
        <f t="shared" si="88"/>
        <v>610.5226017801939</v>
      </c>
      <c r="BI98" s="913">
        <f t="shared" si="89"/>
        <v>372.66600926721577</v>
      </c>
      <c r="BJ98" s="914">
        <f t="shared" si="90"/>
        <v>230.54180648677837</v>
      </c>
      <c r="BK98" s="933">
        <f t="shared" si="91"/>
        <v>7.3147860261997764</v>
      </c>
      <c r="BL98" s="914">
        <f t="shared" si="61"/>
        <v>610.5226017801939</v>
      </c>
      <c r="BM98" s="145">
        <v>0</v>
      </c>
      <c r="BN98" s="927">
        <f t="shared" si="92"/>
        <v>610.5226017801939</v>
      </c>
    </row>
    <row r="99" spans="1:66">
      <c r="A99" s="805">
        <f>'Input data'!A129</f>
        <v>2029</v>
      </c>
      <c r="B99" s="728">
        <f>'Input data'!B129</f>
        <v>65.31298905018393</v>
      </c>
      <c r="C99" s="728">
        <f>'Recycling - Case 1'!AK109/B99</f>
        <v>335.61605460864763</v>
      </c>
      <c r="D99" s="729">
        <f>'Recycling - Case 1'!AM109</f>
        <v>0.26811814175737969</v>
      </c>
      <c r="E99" s="729">
        <f>'Recycling - Case 1'!BE109</f>
        <v>0.17811824591588135</v>
      </c>
      <c r="F99" s="729">
        <f>'Recycling - Case 1'!BF109</f>
        <v>0.22590212332850684</v>
      </c>
      <c r="G99" s="729">
        <f>'Recycling - Case 1'!BG109</f>
        <v>7.717923431002463E-2</v>
      </c>
      <c r="H99" s="729">
        <f>'Recycling - Case 1'!BH109</f>
        <v>0</v>
      </c>
      <c r="I99" s="729">
        <f>'Recycling - Case 1'!BI109</f>
        <v>0</v>
      </c>
      <c r="J99" s="729">
        <f>'Recycling - Case 1'!BJ109</f>
        <v>0</v>
      </c>
      <c r="K99" s="729">
        <f>'Recycling - Case 1'!BK109</f>
        <v>0.51880039644558706</v>
      </c>
      <c r="L99" s="730">
        <f t="shared" si="100"/>
        <v>0.99999999999999989</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0.10276985527709342</v>
      </c>
      <c r="Q99" s="734">
        <f t="shared" si="62"/>
        <v>258.09223831086325</v>
      </c>
      <c r="R99" s="734">
        <f t="shared" si="63"/>
        <v>258.09223831086325</v>
      </c>
      <c r="S99" s="737">
        <f t="shared" si="64"/>
        <v>0</v>
      </c>
      <c r="T99" s="734">
        <f t="shared" si="65"/>
        <v>10884.399888655424</v>
      </c>
      <c r="U99" s="734">
        <f t="shared" si="66"/>
        <v>544.82244366209738</v>
      </c>
      <c r="V99" s="741">
        <f t="shared" si="67"/>
        <v>363.21496244139826</v>
      </c>
      <c r="W99" s="383"/>
      <c r="X99" s="885">
        <f>'Recycling - Case 1'!AM149</f>
        <v>0</v>
      </c>
      <c r="Y99" s="886">
        <f>Parameters!S200</f>
        <v>0.71500000000000008</v>
      </c>
      <c r="Z99" s="887">
        <f t="shared" si="68"/>
        <v>0.4</v>
      </c>
      <c r="AA99" s="888">
        <f t="shared" si="69"/>
        <v>0</v>
      </c>
      <c r="AB99" s="888">
        <f t="shared" si="70"/>
        <v>0</v>
      </c>
      <c r="AC99" s="311">
        <f t="shared" si="71"/>
        <v>0</v>
      </c>
      <c r="AD99" s="888">
        <f t="shared" si="72"/>
        <v>6415.8414411337963</v>
      </c>
      <c r="AE99" s="888">
        <f t="shared" si="73"/>
        <v>328.94722486165978</v>
      </c>
      <c r="AF99" s="889">
        <f t="shared" si="74"/>
        <v>219.29814990777319</v>
      </c>
      <c r="AH99" s="885">
        <f>'Recycling - Case 1'!AM189</f>
        <v>0</v>
      </c>
      <c r="AI99" s="886">
        <f>Parameters!S200</f>
        <v>0.71500000000000008</v>
      </c>
      <c r="AJ99" s="887">
        <f t="shared" si="75"/>
        <v>0.4</v>
      </c>
      <c r="AK99" s="888">
        <f t="shared" si="76"/>
        <v>0</v>
      </c>
      <c r="AL99" s="888">
        <f t="shared" si="77"/>
        <v>0</v>
      </c>
      <c r="AM99" s="311">
        <f t="shared" si="78"/>
        <v>0</v>
      </c>
      <c r="AN99" s="888">
        <f t="shared" si="79"/>
        <v>6415.8414411337963</v>
      </c>
      <c r="AO99" s="888">
        <f t="shared" si="80"/>
        <v>328.94722486165978</v>
      </c>
      <c r="AP99" s="889">
        <f t="shared" si="81"/>
        <v>219.29814990777319</v>
      </c>
      <c r="AR99" s="901">
        <f>'Recycling - Case 1'!G109</f>
        <v>635.36778328058904</v>
      </c>
      <c r="AS99" s="920">
        <v>1</v>
      </c>
      <c r="AT99" s="902">
        <f t="shared" si="82"/>
        <v>0.05</v>
      </c>
      <c r="AU99" s="903">
        <f t="shared" si="83"/>
        <v>15.884194582014727</v>
      </c>
      <c r="AV99" s="903">
        <f t="shared" si="84"/>
        <v>15.884194582014727</v>
      </c>
      <c r="AW99" s="279">
        <f t="shared" si="85"/>
        <v>0</v>
      </c>
      <c r="AX99" s="903">
        <f t="shared" si="51"/>
        <v>197.69304979508345</v>
      </c>
      <c r="AY99" s="903">
        <f t="shared" si="54"/>
        <v>11.242431737741471</v>
      </c>
      <c r="AZ99" s="921">
        <f t="shared" si="52"/>
        <v>7.4949544918276478</v>
      </c>
      <c r="BB99" s="913">
        <f t="shared" si="86"/>
        <v>363.21496244139826</v>
      </c>
      <c r="BC99" s="914">
        <f t="shared" si="87"/>
        <v>219.29814990777319</v>
      </c>
      <c r="BD99" s="933">
        <f t="shared" si="101"/>
        <v>7.4949544918276478</v>
      </c>
      <c r="BE99" s="914">
        <f t="shared" si="60"/>
        <v>590.00806684099916</v>
      </c>
      <c r="BF99" s="145">
        <v>0</v>
      </c>
      <c r="BG99" s="927">
        <f t="shared" si="88"/>
        <v>590.00806684099916</v>
      </c>
      <c r="BI99" s="913">
        <f t="shared" si="89"/>
        <v>363.21496244139826</v>
      </c>
      <c r="BJ99" s="914">
        <f t="shared" si="90"/>
        <v>219.29814990777319</v>
      </c>
      <c r="BK99" s="933">
        <f t="shared" si="91"/>
        <v>7.4949544918276478</v>
      </c>
      <c r="BL99" s="914">
        <f t="shared" si="61"/>
        <v>590.00806684099916</v>
      </c>
      <c r="BM99" s="145">
        <v>0</v>
      </c>
      <c r="BN99" s="927">
        <f t="shared" si="92"/>
        <v>590.00806684099916</v>
      </c>
    </row>
    <row r="100" spans="1:66">
      <c r="A100" s="805">
        <f>'Input data'!A130</f>
        <v>2030</v>
      </c>
      <c r="B100" s="728">
        <f>'Input data'!B130</f>
        <v>65.956090000000003</v>
      </c>
      <c r="C100" s="728">
        <f>'Recycling - Case 1'!AK110/B100</f>
        <v>327.18239465170882</v>
      </c>
      <c r="D100" s="729">
        <f>'Recycling - Case 1'!AM110</f>
        <v>0.25820669926447132</v>
      </c>
      <c r="E100" s="729">
        <f>'Recycling - Case 1'!BE110</f>
        <v>0.17890535766768509</v>
      </c>
      <c r="F100" s="729">
        <f>'Recycling - Case 1'!BF110</f>
        <v>0.22690039397234227</v>
      </c>
      <c r="G100" s="729">
        <f>'Recycling - Case 1'!BG110</f>
        <v>7.6948027672859368E-2</v>
      </c>
      <c r="H100" s="729">
        <f>'Recycling - Case 1'!BH110</f>
        <v>0</v>
      </c>
      <c r="I100" s="729">
        <f>'Recycling - Case 1'!BI110</f>
        <v>0</v>
      </c>
      <c r="J100" s="729">
        <f>'Recycling - Case 1'!BJ110</f>
        <v>0</v>
      </c>
      <c r="K100" s="729">
        <f>'Recycling - Case 1'!BK110</f>
        <v>0.51724622068711357</v>
      </c>
      <c r="L100" s="730">
        <f t="shared" si="100"/>
        <v>1.0000000000000002</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0.10299509351376496</v>
      </c>
      <c r="Q100" s="734">
        <f t="shared" si="62"/>
        <v>248.20754709580797</v>
      </c>
      <c r="R100" s="734">
        <f t="shared" si="63"/>
        <v>248.20754709580797</v>
      </c>
      <c r="S100" s="737">
        <f t="shared" si="64"/>
        <v>0</v>
      </c>
      <c r="T100" s="734">
        <f t="shared" si="65"/>
        <v>10601.768989217142</v>
      </c>
      <c r="U100" s="734">
        <f t="shared" si="66"/>
        <v>530.83844653408926</v>
      </c>
      <c r="V100" s="741">
        <f t="shared" si="67"/>
        <v>353.89229768939282</v>
      </c>
      <c r="W100" s="383"/>
      <c r="X100" s="885">
        <f>'Recycling - Case 1'!AM150</f>
        <v>0</v>
      </c>
      <c r="Y100" s="886">
        <f>Parameters!S201</f>
        <v>0.71500000000000008</v>
      </c>
      <c r="Z100" s="887">
        <f t="shared" si="68"/>
        <v>0.4</v>
      </c>
      <c r="AA100" s="888">
        <f t="shared" si="69"/>
        <v>0</v>
      </c>
      <c r="AB100" s="888">
        <f t="shared" si="70"/>
        <v>0</v>
      </c>
      <c r="AC100" s="311">
        <f t="shared" si="71"/>
        <v>0</v>
      </c>
      <c r="AD100" s="888">
        <f t="shared" si="72"/>
        <v>6102.9371617375327</v>
      </c>
      <c r="AE100" s="888">
        <f t="shared" si="73"/>
        <v>312.90427939626358</v>
      </c>
      <c r="AF100" s="889">
        <f t="shared" si="74"/>
        <v>208.60285293084237</v>
      </c>
      <c r="AH100" s="885">
        <f>'Recycling - Case 1'!AM190</f>
        <v>0</v>
      </c>
      <c r="AI100" s="886">
        <f>Parameters!S201</f>
        <v>0.71500000000000008</v>
      </c>
      <c r="AJ100" s="887">
        <f t="shared" si="75"/>
        <v>0.4</v>
      </c>
      <c r="AK100" s="888">
        <f t="shared" si="76"/>
        <v>0</v>
      </c>
      <c r="AL100" s="888">
        <f t="shared" si="77"/>
        <v>0</v>
      </c>
      <c r="AM100" s="311">
        <f t="shared" si="78"/>
        <v>0</v>
      </c>
      <c r="AN100" s="888">
        <f t="shared" si="79"/>
        <v>6102.9371617375327</v>
      </c>
      <c r="AO100" s="888">
        <f t="shared" si="80"/>
        <v>312.90427939626358</v>
      </c>
      <c r="AP100" s="889">
        <f t="shared" si="81"/>
        <v>208.60285293084237</v>
      </c>
      <c r="AR100" s="901">
        <f>'Recycling - Case 1'!G110</f>
        <v>646.37401788713851</v>
      </c>
      <c r="AS100" s="920">
        <v>1</v>
      </c>
      <c r="AT100" s="902">
        <f t="shared" si="82"/>
        <v>0.05</v>
      </c>
      <c r="AU100" s="903">
        <f t="shared" si="83"/>
        <v>16.159350447178465</v>
      </c>
      <c r="AV100" s="903">
        <f t="shared" si="84"/>
        <v>16.159350447178465</v>
      </c>
      <c r="AW100" s="279">
        <f t="shared" si="85"/>
        <v>0</v>
      </c>
      <c r="AX100" s="903">
        <f t="shared" si="51"/>
        <v>202.33965328029291</v>
      </c>
      <c r="AY100" s="903">
        <f t="shared" si="54"/>
        <v>11.512746961969029</v>
      </c>
      <c r="AZ100" s="921">
        <f t="shared" si="52"/>
        <v>7.6751646413126862</v>
      </c>
      <c r="BB100" s="913">
        <f t="shared" si="86"/>
        <v>353.89229768939282</v>
      </c>
      <c r="BC100" s="914">
        <f t="shared" si="87"/>
        <v>208.60285293084237</v>
      </c>
      <c r="BD100" s="933">
        <f t="shared" si="101"/>
        <v>7.6751646413126862</v>
      </c>
      <c r="BE100" s="914">
        <f t="shared" si="60"/>
        <v>570.1703152615479</v>
      </c>
      <c r="BF100" s="145">
        <v>0</v>
      </c>
      <c r="BG100" s="927">
        <f t="shared" si="88"/>
        <v>570.1703152615479</v>
      </c>
      <c r="BI100" s="913">
        <f t="shared" si="89"/>
        <v>353.89229768939282</v>
      </c>
      <c r="BJ100" s="914">
        <f t="shared" si="90"/>
        <v>208.60285293084237</v>
      </c>
      <c r="BK100" s="933">
        <f t="shared" si="91"/>
        <v>7.6751646413126862</v>
      </c>
      <c r="BL100" s="914">
        <f t="shared" si="61"/>
        <v>570.1703152615479</v>
      </c>
      <c r="BM100" s="145">
        <v>0</v>
      </c>
      <c r="BN100" s="927">
        <f t="shared" si="92"/>
        <v>570.1703152615479</v>
      </c>
    </row>
    <row r="101" spans="1:66">
      <c r="A101" s="805">
        <f>'Input data'!A131</f>
        <v>2031</v>
      </c>
      <c r="B101" s="728">
        <f>'Input data'!B131</f>
        <v>66.518977190687664</v>
      </c>
      <c r="C101" s="728">
        <f>'Recycling - Case 1'!AK111/B101</f>
        <v>320.01001515907478</v>
      </c>
      <c r="D101" s="729">
        <f>'Recycling - Case 1'!AM111</f>
        <v>0.24936665275687561</v>
      </c>
      <c r="E101" s="729">
        <f>'Recycling - Case 1'!BE111</f>
        <v>0.17957804457145587</v>
      </c>
      <c r="F101" s="729">
        <f>'Recycling - Case 1'!BF111</f>
        <v>0.22775354295276104</v>
      </c>
      <c r="G101" s="729">
        <f>'Recycling - Case 1'!BG111</f>
        <v>7.6750432253238687E-2</v>
      </c>
      <c r="H101" s="729">
        <f>'Recycling - Case 1'!BH111</f>
        <v>0</v>
      </c>
      <c r="I101" s="729">
        <f>'Recycling - Case 1'!BI111</f>
        <v>0</v>
      </c>
      <c r="J101" s="729">
        <f>'Recycling - Case 1'!BJ111</f>
        <v>0</v>
      </c>
      <c r="K101" s="729">
        <f>'Recycling - Case 1'!BK111</f>
        <v>0.51591798022254431</v>
      </c>
      <c r="L101" s="730">
        <f t="shared" si="100"/>
        <v>1</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0.10318758817756607</v>
      </c>
      <c r="Q101" s="734">
        <f t="shared" si="62"/>
        <v>238.74645464885418</v>
      </c>
      <c r="R101" s="734">
        <f t="shared" si="63"/>
        <v>238.74645464885418</v>
      </c>
      <c r="S101" s="737">
        <f t="shared" si="64"/>
        <v>0</v>
      </c>
      <c r="T101" s="734">
        <f t="shared" si="65"/>
        <v>10323.461068951392</v>
      </c>
      <c r="U101" s="734">
        <f t="shared" si="66"/>
        <v>517.0543749146035</v>
      </c>
      <c r="V101" s="741">
        <f t="shared" si="67"/>
        <v>344.70291660973567</v>
      </c>
      <c r="W101" s="383"/>
      <c r="X101" s="885">
        <f>'Recycling - Case 1'!AM151</f>
        <v>0</v>
      </c>
      <c r="Y101" s="886">
        <f>Parameters!S202</f>
        <v>0.71500000000000008</v>
      </c>
      <c r="Z101" s="887">
        <f t="shared" si="68"/>
        <v>0.4</v>
      </c>
      <c r="AA101" s="888">
        <f t="shared" si="69"/>
        <v>0</v>
      </c>
      <c r="AB101" s="888">
        <f t="shared" si="70"/>
        <v>0</v>
      </c>
      <c r="AC101" s="311">
        <f t="shared" si="71"/>
        <v>0</v>
      </c>
      <c r="AD101" s="888">
        <f t="shared" si="72"/>
        <v>5805.293404123614</v>
      </c>
      <c r="AE101" s="888">
        <f t="shared" si="73"/>
        <v>297.64375761391847</v>
      </c>
      <c r="AF101" s="889">
        <f t="shared" si="74"/>
        <v>198.42917174261231</v>
      </c>
      <c r="AH101" s="885">
        <f>'Recycling - Case 1'!AM191</f>
        <v>0</v>
      </c>
      <c r="AI101" s="886">
        <f>Parameters!S202</f>
        <v>0.71500000000000008</v>
      </c>
      <c r="AJ101" s="887">
        <f t="shared" si="75"/>
        <v>0.4</v>
      </c>
      <c r="AK101" s="888">
        <f t="shared" si="76"/>
        <v>0</v>
      </c>
      <c r="AL101" s="888">
        <f t="shared" si="77"/>
        <v>0</v>
      </c>
      <c r="AM101" s="311">
        <f t="shared" si="78"/>
        <v>0</v>
      </c>
      <c r="AN101" s="888">
        <f t="shared" si="79"/>
        <v>5805.293404123614</v>
      </c>
      <c r="AO101" s="888">
        <f t="shared" si="80"/>
        <v>297.64375761391847</v>
      </c>
      <c r="AP101" s="889">
        <f t="shared" si="81"/>
        <v>198.42917174261231</v>
      </c>
      <c r="AR101" s="901">
        <f>'Recycling - Case 1'!G111</f>
        <v>656.68100693696977</v>
      </c>
      <c r="AS101" s="920">
        <v>1</v>
      </c>
      <c r="AT101" s="902">
        <f t="shared" si="82"/>
        <v>0.05</v>
      </c>
      <c r="AU101" s="903">
        <f t="shared" si="83"/>
        <v>16.417025173424246</v>
      </c>
      <c r="AV101" s="903">
        <f t="shared" si="84"/>
        <v>16.417025173424246</v>
      </c>
      <c r="AW101" s="279">
        <f t="shared" si="85"/>
        <v>0</v>
      </c>
      <c r="AX101" s="903">
        <f t="shared" si="51"/>
        <v>206.97333437053788</v>
      </c>
      <c r="AY101" s="903">
        <f t="shared" si="54"/>
        <v>11.783344083179257</v>
      </c>
      <c r="AZ101" s="921">
        <f t="shared" si="52"/>
        <v>7.8555627221195046</v>
      </c>
      <c r="BB101" s="913">
        <f t="shared" si="86"/>
        <v>344.70291660973567</v>
      </c>
      <c r="BC101" s="914">
        <f t="shared" si="87"/>
        <v>198.42917174261231</v>
      </c>
      <c r="BD101" s="933">
        <f t="shared" si="101"/>
        <v>7.8555627221195046</v>
      </c>
      <c r="BE101" s="914">
        <f t="shared" si="60"/>
        <v>550.98765107446752</v>
      </c>
      <c r="BF101" s="145">
        <v>0</v>
      </c>
      <c r="BG101" s="927">
        <f t="shared" si="88"/>
        <v>550.98765107446752</v>
      </c>
      <c r="BI101" s="913">
        <f t="shared" si="89"/>
        <v>344.70291660973567</v>
      </c>
      <c r="BJ101" s="914">
        <f t="shared" si="90"/>
        <v>198.42917174261231</v>
      </c>
      <c r="BK101" s="933">
        <f t="shared" si="91"/>
        <v>7.8555627221195046</v>
      </c>
      <c r="BL101" s="914">
        <f t="shared" si="61"/>
        <v>550.98765107446752</v>
      </c>
      <c r="BM101" s="145">
        <v>0</v>
      </c>
      <c r="BN101" s="927">
        <f t="shared" si="92"/>
        <v>550.98765107446752</v>
      </c>
    </row>
    <row r="102" spans="1:66">
      <c r="A102" s="805">
        <f>'Input data'!A132</f>
        <v>2032</v>
      </c>
      <c r="B102" s="728">
        <f>'Input data'!B132</f>
        <v>67.08666821358311</v>
      </c>
      <c r="C102" s="728">
        <f>'Recycling - Case 1'!AK112/B102</f>
        <v>312.95169592195651</v>
      </c>
      <c r="D102" s="729">
        <f>'Recycling - Case 1'!AM112</f>
        <v>0.24026754761897906</v>
      </c>
      <c r="E102" s="729">
        <f>'Recycling - Case 1'!BE112</f>
        <v>0.18024163675808727</v>
      </c>
      <c r="F102" s="729">
        <f>'Recycling - Case 1'!BF112</f>
        <v>0.22859515737139297</v>
      </c>
      <c r="G102" s="729">
        <f>'Recycling - Case 1'!BG112</f>
        <v>7.6555508320812815E-2</v>
      </c>
      <c r="H102" s="729">
        <f>'Recycling - Case 1'!BH112</f>
        <v>0</v>
      </c>
      <c r="I102" s="729">
        <f>'Recycling - Case 1'!BI112</f>
        <v>0</v>
      </c>
      <c r="J102" s="729">
        <f>'Recycling - Case 1'!BJ112</f>
        <v>0</v>
      </c>
      <c r="K102" s="729">
        <f>'Recycling - Case 1'!BK112</f>
        <v>0.51460769754970714</v>
      </c>
      <c r="L102" s="730">
        <f t="shared" si="100"/>
        <v>1.0000000000000002</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0.10337748031631681</v>
      </c>
      <c r="Q102" s="734">
        <f t="shared" si="62"/>
        <v>229.05847313049728</v>
      </c>
      <c r="R102" s="734">
        <f t="shared" si="63"/>
        <v>229.05847313049728</v>
      </c>
      <c r="S102" s="737">
        <f t="shared" si="64"/>
        <v>0</v>
      </c>
      <c r="T102" s="734">
        <f t="shared" si="65"/>
        <v>10049.038404604657</v>
      </c>
      <c r="U102" s="734">
        <f t="shared" si="66"/>
        <v>503.48113747723346</v>
      </c>
      <c r="V102" s="741">
        <f t="shared" si="67"/>
        <v>335.65409165148895</v>
      </c>
      <c r="W102" s="383"/>
      <c r="X102" s="885">
        <f>'Recycling - Case 1'!AM152</f>
        <v>0</v>
      </c>
      <c r="Y102" s="886">
        <f>Parameters!S203</f>
        <v>0.71500000000000008</v>
      </c>
      <c r="Z102" s="887">
        <f t="shared" si="68"/>
        <v>0.4</v>
      </c>
      <c r="AA102" s="888">
        <f t="shared" si="69"/>
        <v>0</v>
      </c>
      <c r="AB102" s="888">
        <f t="shared" si="70"/>
        <v>0</v>
      </c>
      <c r="AC102" s="311">
        <f t="shared" si="71"/>
        <v>0</v>
      </c>
      <c r="AD102" s="888">
        <f t="shared" si="72"/>
        <v>5522.1659038622965</v>
      </c>
      <c r="AE102" s="888">
        <f t="shared" si="73"/>
        <v>283.12750026131766</v>
      </c>
      <c r="AF102" s="889">
        <f t="shared" si="74"/>
        <v>188.75166684087844</v>
      </c>
      <c r="AH102" s="885">
        <f>'Recycling - Case 1'!AM192</f>
        <v>0</v>
      </c>
      <c r="AI102" s="886">
        <f>Parameters!S203</f>
        <v>0.71500000000000008</v>
      </c>
      <c r="AJ102" s="887">
        <f t="shared" si="75"/>
        <v>0.4</v>
      </c>
      <c r="AK102" s="888">
        <f t="shared" si="76"/>
        <v>0</v>
      </c>
      <c r="AL102" s="888">
        <f t="shared" si="77"/>
        <v>0</v>
      </c>
      <c r="AM102" s="311">
        <f t="shared" si="78"/>
        <v>0</v>
      </c>
      <c r="AN102" s="888">
        <f t="shared" si="79"/>
        <v>5522.1659038622965</v>
      </c>
      <c r="AO102" s="888">
        <f t="shared" si="80"/>
        <v>283.12750026131766</v>
      </c>
      <c r="AP102" s="889">
        <f t="shared" si="81"/>
        <v>188.75166684087844</v>
      </c>
      <c r="AR102" s="901">
        <f>'Recycling - Case 1'!G112</f>
        <v>667.11684340477314</v>
      </c>
      <c r="AS102" s="920">
        <v>1</v>
      </c>
      <c r="AT102" s="902">
        <f t="shared" si="82"/>
        <v>0.05</v>
      </c>
      <c r="AU102" s="903">
        <f t="shared" si="83"/>
        <v>16.67792108511933</v>
      </c>
      <c r="AV102" s="903">
        <f t="shared" si="84"/>
        <v>16.67792108511933</v>
      </c>
      <c r="AW102" s="279">
        <f t="shared" si="85"/>
        <v>0</v>
      </c>
      <c r="AX102" s="903">
        <f t="shared" si="51"/>
        <v>211.59806679296568</v>
      </c>
      <c r="AY102" s="903">
        <f t="shared" si="54"/>
        <v>12.05318866269152</v>
      </c>
      <c r="AZ102" s="921">
        <f t="shared" si="52"/>
        <v>8.0354591084610139</v>
      </c>
      <c r="BB102" s="913">
        <f t="shared" si="86"/>
        <v>335.65409165148895</v>
      </c>
      <c r="BC102" s="914">
        <f t="shared" si="87"/>
        <v>188.75166684087844</v>
      </c>
      <c r="BD102" s="933">
        <f t="shared" si="101"/>
        <v>8.0354591084610139</v>
      </c>
      <c r="BE102" s="914">
        <f t="shared" si="60"/>
        <v>532.4412176008284</v>
      </c>
      <c r="BF102" s="145">
        <v>0</v>
      </c>
      <c r="BG102" s="927">
        <f t="shared" si="88"/>
        <v>532.4412176008284</v>
      </c>
      <c r="BI102" s="913">
        <f t="shared" si="89"/>
        <v>335.65409165148895</v>
      </c>
      <c r="BJ102" s="914">
        <f t="shared" si="90"/>
        <v>188.75166684087844</v>
      </c>
      <c r="BK102" s="933">
        <f t="shared" si="91"/>
        <v>8.0354591084610139</v>
      </c>
      <c r="BL102" s="914">
        <f t="shared" si="61"/>
        <v>532.4412176008284</v>
      </c>
      <c r="BM102" s="145">
        <v>0</v>
      </c>
      <c r="BN102" s="927">
        <f t="shared" si="92"/>
        <v>532.4412176008284</v>
      </c>
    </row>
    <row r="103" spans="1:66">
      <c r="A103" s="805">
        <f>'Input data'!A133</f>
        <v>2033</v>
      </c>
      <c r="B103" s="728">
        <f>'Input data'!B133</f>
        <v>67.659204065895452</v>
      </c>
      <c r="C103" s="728">
        <f>'Recycling - Case 1'!AK113/B103</f>
        <v>306.00580123724939</v>
      </c>
      <c r="D103" s="729">
        <f>'Recycling - Case 1'!AM113</f>
        <v>0.23089991515555844</v>
      </c>
      <c r="E103" s="729">
        <f>'Recycling - Case 1'!BE113</f>
        <v>0.18089629394968071</v>
      </c>
      <c r="F103" s="729">
        <f>'Recycling - Case 1'!BF113</f>
        <v>0.22942543979907346</v>
      </c>
      <c r="G103" s="729">
        <f>'Recycling - Case 1'!BG113</f>
        <v>7.6363208958724102E-2</v>
      </c>
      <c r="H103" s="729">
        <f>'Recycling - Case 1'!BH113</f>
        <v>0</v>
      </c>
      <c r="I103" s="729">
        <f>'Recycling - Case 1'!BI113</f>
        <v>0</v>
      </c>
      <c r="J103" s="729">
        <f>'Recycling - Case 1'!BJ113</f>
        <v>0</v>
      </c>
      <c r="K103" s="729">
        <f>'Recycling - Case 1'!BK113</f>
        <v>0.51331505729252191</v>
      </c>
      <c r="L103" s="730">
        <f t="shared" si="100"/>
        <v>1.0000000000000002</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0.10356481563575644</v>
      </c>
      <c r="Q103" s="734">
        <f t="shared" si="62"/>
        <v>219.14344967651783</v>
      </c>
      <c r="R103" s="734">
        <f t="shared" si="63"/>
        <v>219.14344967651783</v>
      </c>
      <c r="S103" s="737">
        <f t="shared" si="64"/>
        <v>0</v>
      </c>
      <c r="T103" s="734">
        <f t="shared" si="65"/>
        <v>9778.0844680741793</v>
      </c>
      <c r="U103" s="734">
        <f t="shared" si="66"/>
        <v>490.09738620699579</v>
      </c>
      <c r="V103" s="741">
        <f t="shared" si="67"/>
        <v>326.73159080466388</v>
      </c>
      <c r="W103" s="383"/>
      <c r="X103" s="885">
        <f>'Recycling - Case 1'!AM153</f>
        <v>0</v>
      </c>
      <c r="Y103" s="886">
        <f>Parameters!S204</f>
        <v>0.71500000000000008</v>
      </c>
      <c r="Z103" s="887">
        <f t="shared" si="68"/>
        <v>0.4</v>
      </c>
      <c r="AA103" s="888">
        <f t="shared" si="69"/>
        <v>0</v>
      </c>
      <c r="AB103" s="888">
        <f t="shared" si="70"/>
        <v>0</v>
      </c>
      <c r="AC103" s="311">
        <f t="shared" si="71"/>
        <v>0</v>
      </c>
      <c r="AD103" s="888">
        <f t="shared" si="72"/>
        <v>5252.8466947283978</v>
      </c>
      <c r="AE103" s="888">
        <f t="shared" si="73"/>
        <v>269.31920913389894</v>
      </c>
      <c r="AF103" s="889">
        <f t="shared" si="74"/>
        <v>179.54613942259928</v>
      </c>
      <c r="AH103" s="885">
        <f>'Recycling - Case 1'!AM193</f>
        <v>0</v>
      </c>
      <c r="AI103" s="886">
        <f>Parameters!S204</f>
        <v>0.71500000000000008</v>
      </c>
      <c r="AJ103" s="887">
        <f t="shared" si="75"/>
        <v>0.4</v>
      </c>
      <c r="AK103" s="888">
        <f t="shared" si="76"/>
        <v>0</v>
      </c>
      <c r="AL103" s="888">
        <f t="shared" si="77"/>
        <v>0</v>
      </c>
      <c r="AM103" s="311">
        <f t="shared" si="78"/>
        <v>0</v>
      </c>
      <c r="AN103" s="888">
        <f t="shared" si="79"/>
        <v>5252.8466947283978</v>
      </c>
      <c r="AO103" s="888">
        <f t="shared" si="80"/>
        <v>269.31920913389894</v>
      </c>
      <c r="AP103" s="889">
        <f t="shared" si="81"/>
        <v>179.54613942259928</v>
      </c>
      <c r="AR103" s="901">
        <f>'Recycling - Case 1'!G113</f>
        <v>677.68297583118044</v>
      </c>
      <c r="AS103" s="920">
        <v>1</v>
      </c>
      <c r="AT103" s="902">
        <f t="shared" si="82"/>
        <v>0.05</v>
      </c>
      <c r="AU103" s="903">
        <f t="shared" si="83"/>
        <v>16.94207439577951</v>
      </c>
      <c r="AV103" s="903">
        <f t="shared" si="84"/>
        <v>16.94207439577951</v>
      </c>
      <c r="AW103" s="279">
        <f t="shared" si="85"/>
        <v>0</v>
      </c>
      <c r="AX103" s="903">
        <f t="shared" si="51"/>
        <v>216.21762907638555</v>
      </c>
      <c r="AY103" s="903">
        <f t="shared" si="54"/>
        <v>12.322512112359648</v>
      </c>
      <c r="AZ103" s="921">
        <f t="shared" si="52"/>
        <v>8.2150080749064323</v>
      </c>
      <c r="BB103" s="913">
        <f t="shared" si="86"/>
        <v>326.73159080466388</v>
      </c>
      <c r="BC103" s="914">
        <f t="shared" si="87"/>
        <v>179.54613942259928</v>
      </c>
      <c r="BD103" s="933">
        <f t="shared" si="101"/>
        <v>8.2150080749064323</v>
      </c>
      <c r="BE103" s="914">
        <f t="shared" si="60"/>
        <v>514.49273830216964</v>
      </c>
      <c r="BF103" s="145">
        <v>0</v>
      </c>
      <c r="BG103" s="927">
        <f t="shared" si="88"/>
        <v>514.49273830216964</v>
      </c>
      <c r="BI103" s="913">
        <f t="shared" si="89"/>
        <v>326.73159080466388</v>
      </c>
      <c r="BJ103" s="914">
        <f t="shared" si="90"/>
        <v>179.54613942259928</v>
      </c>
      <c r="BK103" s="933">
        <f t="shared" si="91"/>
        <v>8.2150080749064323</v>
      </c>
      <c r="BL103" s="914">
        <f t="shared" si="61"/>
        <v>514.49273830216964</v>
      </c>
      <c r="BM103" s="145">
        <v>0</v>
      </c>
      <c r="BN103" s="927">
        <f t="shared" si="92"/>
        <v>514.49273830216964</v>
      </c>
    </row>
    <row r="104" spans="1:66">
      <c r="A104" s="805">
        <f>'Input data'!A134</f>
        <v>2034</v>
      </c>
      <c r="B104" s="728">
        <f>'Input data'!B134</f>
        <v>68.236626094715163</v>
      </c>
      <c r="C104" s="728">
        <f>'Recycling - Case 1'!AK114/B104</f>
        <v>299.17072159316484</v>
      </c>
      <c r="D104" s="729">
        <f>'Recycling - Case 1'!AM114</f>
        <v>0.22125381783777373</v>
      </c>
      <c r="E104" s="729">
        <f>'Recycling - Case 1'!BE114</f>
        <v>0.18154217223260266</v>
      </c>
      <c r="F104" s="729">
        <f>'Recycling - Case 1'!BF114</f>
        <v>0.23024458819554225</v>
      </c>
      <c r="G104" s="729">
        <f>'Recycling - Case 1'!BG114</f>
        <v>7.6173488318077687E-2</v>
      </c>
      <c r="H104" s="729">
        <f>'Recycling - Case 1'!BH114</f>
        <v>0</v>
      </c>
      <c r="I104" s="729">
        <f>'Recycling - Case 1'!BI114</f>
        <v>0</v>
      </c>
      <c r="J104" s="729">
        <f>'Recycling - Case 1'!BJ114</f>
        <v>0</v>
      </c>
      <c r="K104" s="729">
        <f>'Recycling - Case 1'!BK114</f>
        <v>0.51203975125377732</v>
      </c>
      <c r="L104" s="730">
        <f t="shared" si="100"/>
        <v>0.99999999999999989</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0.10374963880122992</v>
      </c>
      <c r="Q104" s="734">
        <f t="shared" si="62"/>
        <v>209.0012385720207</v>
      </c>
      <c r="R104" s="734">
        <f t="shared" si="63"/>
        <v>209.0012385720207</v>
      </c>
      <c r="S104" s="737">
        <f t="shared" si="64"/>
        <v>0</v>
      </c>
      <c r="T104" s="734">
        <f t="shared" si="65"/>
        <v>9510.2028998575915</v>
      </c>
      <c r="U104" s="734">
        <f t="shared" si="66"/>
        <v>476.88280678860741</v>
      </c>
      <c r="V104" s="741">
        <f t="shared" si="67"/>
        <v>317.92187119240492</v>
      </c>
      <c r="W104" s="383"/>
      <c r="X104" s="885">
        <f>'Recycling - Case 1'!AM154</f>
        <v>0</v>
      </c>
      <c r="Y104" s="886">
        <f>Parameters!S205</f>
        <v>0.71500000000000008</v>
      </c>
      <c r="Z104" s="887">
        <f t="shared" si="68"/>
        <v>0.4</v>
      </c>
      <c r="AA104" s="888">
        <f t="shared" si="69"/>
        <v>0</v>
      </c>
      <c r="AB104" s="888">
        <f t="shared" si="70"/>
        <v>0</v>
      </c>
      <c r="AC104" s="311">
        <f t="shared" si="71"/>
        <v>0</v>
      </c>
      <c r="AD104" s="888">
        <f t="shared" si="72"/>
        <v>4996.6623384169716</v>
      </c>
      <c r="AE104" s="888">
        <f t="shared" si="73"/>
        <v>256.18435631142614</v>
      </c>
      <c r="AF104" s="889">
        <f t="shared" si="74"/>
        <v>170.7895708742841</v>
      </c>
      <c r="AH104" s="885">
        <f>'Recycling - Case 1'!AM194</f>
        <v>0</v>
      </c>
      <c r="AI104" s="886">
        <f>Parameters!S205</f>
        <v>0.71500000000000008</v>
      </c>
      <c r="AJ104" s="887">
        <f t="shared" si="75"/>
        <v>0.4</v>
      </c>
      <c r="AK104" s="888">
        <f t="shared" si="76"/>
        <v>0</v>
      </c>
      <c r="AL104" s="888">
        <f t="shared" si="77"/>
        <v>0</v>
      </c>
      <c r="AM104" s="311">
        <f t="shared" si="78"/>
        <v>0</v>
      </c>
      <c r="AN104" s="888">
        <f t="shared" si="79"/>
        <v>4996.6623384169716</v>
      </c>
      <c r="AO104" s="888">
        <f t="shared" si="80"/>
        <v>256.18435631142614</v>
      </c>
      <c r="AP104" s="889">
        <f t="shared" si="81"/>
        <v>170.7895708742841</v>
      </c>
      <c r="AR104" s="901">
        <f>'Recycling - Case 1'!G114</f>
        <v>688.38086809685626</v>
      </c>
      <c r="AS104" s="920">
        <v>1</v>
      </c>
      <c r="AT104" s="902">
        <f t="shared" si="82"/>
        <v>0.05</v>
      </c>
      <c r="AU104" s="903">
        <f t="shared" si="83"/>
        <v>17.209521702421409</v>
      </c>
      <c r="AV104" s="903">
        <f t="shared" si="84"/>
        <v>17.209521702421409</v>
      </c>
      <c r="AW104" s="279">
        <f t="shared" si="85"/>
        <v>0</v>
      </c>
      <c r="AX104" s="903">
        <f t="shared" si="51"/>
        <v>220.83561630223574</v>
      </c>
      <c r="AY104" s="903">
        <f t="shared" si="54"/>
        <v>12.591534476571217</v>
      </c>
      <c r="AZ104" s="921">
        <f t="shared" si="52"/>
        <v>8.3943563177141449</v>
      </c>
      <c r="BB104" s="913">
        <f t="shared" si="86"/>
        <v>317.92187119240492</v>
      </c>
      <c r="BC104" s="914">
        <f t="shared" si="87"/>
        <v>170.7895708742841</v>
      </c>
      <c r="BD104" s="933">
        <f t="shared" si="101"/>
        <v>8.3943563177141449</v>
      </c>
      <c r="BE104" s="914">
        <f t="shared" si="60"/>
        <v>497.10579838440316</v>
      </c>
      <c r="BF104" s="145">
        <v>0</v>
      </c>
      <c r="BG104" s="927">
        <f t="shared" si="88"/>
        <v>497.10579838440316</v>
      </c>
      <c r="BI104" s="913">
        <f t="shared" si="89"/>
        <v>317.92187119240492</v>
      </c>
      <c r="BJ104" s="914">
        <f t="shared" si="90"/>
        <v>170.7895708742841</v>
      </c>
      <c r="BK104" s="933">
        <f t="shared" si="91"/>
        <v>8.3943563177141449</v>
      </c>
      <c r="BL104" s="914">
        <f t="shared" si="61"/>
        <v>497.10579838440316</v>
      </c>
      <c r="BM104" s="145">
        <v>0</v>
      </c>
      <c r="BN104" s="927">
        <f t="shared" si="92"/>
        <v>497.10579838440316</v>
      </c>
    </row>
    <row r="105" spans="1:66">
      <c r="A105" s="805">
        <f>'Input data'!A135</f>
        <v>2035</v>
      </c>
      <c r="B105" s="728">
        <f>'Input data'!B135</f>
        <v>68.818976000000006</v>
      </c>
      <c r="C105" s="728">
        <f>'Recycling - Case 1'!AK115/B105</f>
        <v>292.44487311696332</v>
      </c>
      <c r="D105" s="729">
        <f>'Recycling - Case 1'!AM115</f>
        <v>0.21131882072888153</v>
      </c>
      <c r="E105" s="729">
        <f>'Recycling - Case 1'!BE115</f>
        <v>0.18217942416048291</v>
      </c>
      <c r="F105" s="729">
        <f>'Recycling - Case 1'!BF115</f>
        <v>0.23105279604007339</v>
      </c>
      <c r="G105" s="729">
        <f>'Recycling - Case 1'!BG115</f>
        <v>7.5986301587686933E-2</v>
      </c>
      <c r="H105" s="729">
        <f>'Recycling - Case 1'!BH115</f>
        <v>0</v>
      </c>
      <c r="I105" s="729">
        <f>'Recycling - Case 1'!BI115</f>
        <v>0</v>
      </c>
      <c r="J105" s="729">
        <f>'Recycling - Case 1'!BJ115</f>
        <v>0</v>
      </c>
      <c r="K105" s="729">
        <f>'Recycling - Case 1'!BK115</f>
        <v>0.51078147821175679</v>
      </c>
      <c r="L105" s="730">
        <f t="shared" si="100"/>
        <v>1</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0.10393199346716189</v>
      </c>
      <c r="Q105" s="734">
        <f t="shared" si="62"/>
        <v>198.63170103126512</v>
      </c>
      <c r="R105" s="734">
        <f t="shared" si="63"/>
        <v>198.63170103126512</v>
      </c>
      <c r="S105" s="737">
        <f t="shared" si="64"/>
        <v>0</v>
      </c>
      <c r="T105" s="734">
        <f t="shared" si="65"/>
        <v>9245.0165323478232</v>
      </c>
      <c r="U105" s="734">
        <f t="shared" si="66"/>
        <v>463.8180685410332</v>
      </c>
      <c r="V105" s="741">
        <f t="shared" si="67"/>
        <v>309.21204569402215</v>
      </c>
      <c r="W105" s="383"/>
      <c r="X105" s="885">
        <f>'Recycling - Case 1'!AM155</f>
        <v>0</v>
      </c>
      <c r="Y105" s="886">
        <f>Parameters!S206</f>
        <v>0.71500000000000008</v>
      </c>
      <c r="Z105" s="887">
        <f t="shared" si="68"/>
        <v>0.4</v>
      </c>
      <c r="AA105" s="888">
        <f t="shared" si="69"/>
        <v>0</v>
      </c>
      <c r="AB105" s="888">
        <f t="shared" si="70"/>
        <v>0</v>
      </c>
      <c r="AC105" s="311">
        <f t="shared" si="71"/>
        <v>0</v>
      </c>
      <c r="AD105" s="888">
        <f t="shared" si="72"/>
        <v>4752.9722405967677</v>
      </c>
      <c r="AE105" s="888">
        <f t="shared" si="73"/>
        <v>243.69009782020376</v>
      </c>
      <c r="AF105" s="889">
        <f t="shared" si="74"/>
        <v>162.46006521346916</v>
      </c>
      <c r="AH105" s="885">
        <f>'Recycling - Case 1'!AM195</f>
        <v>0</v>
      </c>
      <c r="AI105" s="886">
        <f>Parameters!S206</f>
        <v>0.71500000000000008</v>
      </c>
      <c r="AJ105" s="887">
        <f t="shared" si="75"/>
        <v>0.4</v>
      </c>
      <c r="AK105" s="888">
        <f t="shared" si="76"/>
        <v>0</v>
      </c>
      <c r="AL105" s="888">
        <f t="shared" si="77"/>
        <v>0</v>
      </c>
      <c r="AM105" s="311">
        <f t="shared" si="78"/>
        <v>0</v>
      </c>
      <c r="AN105" s="888">
        <f t="shared" si="79"/>
        <v>4752.9722405967677</v>
      </c>
      <c r="AO105" s="888">
        <f t="shared" si="80"/>
        <v>243.69009782020376</v>
      </c>
      <c r="AP105" s="889">
        <f t="shared" si="81"/>
        <v>162.46006521346916</v>
      </c>
      <c r="AR105" s="901">
        <f>'Recycling - Case 1'!G115</f>
        <v>699.21199957882664</v>
      </c>
      <c r="AS105" s="920">
        <v>1</v>
      </c>
      <c r="AT105" s="902">
        <f t="shared" si="82"/>
        <v>0.05</v>
      </c>
      <c r="AU105" s="903">
        <f t="shared" si="83"/>
        <v>17.480299989470666</v>
      </c>
      <c r="AV105" s="903">
        <f t="shared" si="84"/>
        <v>17.480299989470666</v>
      </c>
      <c r="AW105" s="279">
        <f t="shared" si="85"/>
        <v>0</v>
      </c>
      <c r="AX105" s="903">
        <f t="shared" si="51"/>
        <v>225.45545117513581</v>
      </c>
      <c r="AY105" s="903">
        <f t="shared" si="54"/>
        <v>12.860465116570586</v>
      </c>
      <c r="AZ105" s="921">
        <f t="shared" si="52"/>
        <v>8.5736434110470565</v>
      </c>
      <c r="BB105" s="913">
        <f t="shared" si="86"/>
        <v>309.21204569402215</v>
      </c>
      <c r="BC105" s="914">
        <f t="shared" si="87"/>
        <v>162.46006521346916</v>
      </c>
      <c r="BD105" s="933">
        <f t="shared" si="101"/>
        <v>8.5736434110470565</v>
      </c>
      <c r="BE105" s="914">
        <f t="shared" si="60"/>
        <v>480.24575431853833</v>
      </c>
      <c r="BF105" s="145">
        <v>0</v>
      </c>
      <c r="BG105" s="927">
        <f t="shared" si="88"/>
        <v>480.24575431853833</v>
      </c>
      <c r="BI105" s="913">
        <f t="shared" si="89"/>
        <v>309.21204569402215</v>
      </c>
      <c r="BJ105" s="914">
        <f t="shared" si="90"/>
        <v>162.46006521346916</v>
      </c>
      <c r="BK105" s="933">
        <f t="shared" si="91"/>
        <v>8.5736434110470565</v>
      </c>
      <c r="BL105" s="914">
        <f t="shared" si="61"/>
        <v>480.24575431853833</v>
      </c>
      <c r="BM105" s="145">
        <v>0</v>
      </c>
      <c r="BN105" s="927">
        <f t="shared" si="92"/>
        <v>480.24575431853833</v>
      </c>
    </row>
    <row r="106" spans="1:66">
      <c r="A106" s="805">
        <f>'Input data'!A136</f>
        <v>2036</v>
      </c>
      <c r="B106" s="728">
        <f>'Input data'!B136</f>
        <v>69.322810489383542</v>
      </c>
      <c r="C106" s="728">
        <f>'Recycling - Case 1'!AK116/B106</f>
        <v>286.03749237591961</v>
      </c>
      <c r="D106" s="729">
        <f>'Recycling - Case 1'!AM116</f>
        <v>0.20117775858184658</v>
      </c>
      <c r="E106" s="729">
        <f>'Recycling - Case 1'!BE116</f>
        <v>0.18271965574350774</v>
      </c>
      <c r="F106" s="729">
        <f>'Recycling - Case 1'!BF116</f>
        <v>0.23173795583977225</v>
      </c>
      <c r="G106" s="729">
        <f>'Recycling - Case 1'!BG116</f>
        <v>7.5827613666543003E-2</v>
      </c>
      <c r="H106" s="729">
        <f>'Recycling - Case 1'!BH116</f>
        <v>0</v>
      </c>
      <c r="I106" s="729">
        <f>'Recycling - Case 1'!BI116</f>
        <v>0</v>
      </c>
      <c r="J106" s="729">
        <f>'Recycling - Case 1'!BJ116</f>
        <v>0</v>
      </c>
      <c r="K106" s="729">
        <f>'Recycling - Case 1'!BK116</f>
        <v>0.5097147747501769</v>
      </c>
      <c r="L106" s="730">
        <f t="shared" si="100"/>
        <v>0.99999999999999989</v>
      </c>
      <c r="N106" s="740">
        <f t="shared" si="57"/>
        <v>3989.1382594538386</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0.10408658499609781</v>
      </c>
      <c r="Q106" s="734">
        <f t="shared" si="62"/>
        <v>187.98894371760798</v>
      </c>
      <c r="R106" s="734">
        <f t="shared" si="63"/>
        <v>187.98894371760798</v>
      </c>
      <c r="S106" s="737">
        <f t="shared" si="64"/>
        <v>0</v>
      </c>
      <c r="T106" s="734">
        <f t="shared" si="65"/>
        <v>8982.1206992824136</v>
      </c>
      <c r="U106" s="734">
        <f t="shared" si="66"/>
        <v>450.8847767830166</v>
      </c>
      <c r="V106" s="741">
        <f t="shared" si="67"/>
        <v>300.58985118867776</v>
      </c>
      <c r="W106" s="383"/>
      <c r="X106" s="885">
        <f>'Recycling - Case 1'!AM156</f>
        <v>0</v>
      </c>
      <c r="Y106" s="886">
        <f>Parameters!S207</f>
        <v>0.71500000000000008</v>
      </c>
      <c r="Z106" s="887">
        <f t="shared" si="68"/>
        <v>0.4</v>
      </c>
      <c r="AA106" s="888">
        <f t="shared" si="69"/>
        <v>0</v>
      </c>
      <c r="AB106" s="888">
        <f t="shared" si="70"/>
        <v>0</v>
      </c>
      <c r="AC106" s="311">
        <f t="shared" si="71"/>
        <v>0</v>
      </c>
      <c r="AD106" s="888">
        <f t="shared" si="72"/>
        <v>4521.1670490907327</v>
      </c>
      <c r="AE106" s="888">
        <f t="shared" si="73"/>
        <v>231.80519150603513</v>
      </c>
      <c r="AF106" s="889">
        <f t="shared" si="74"/>
        <v>154.53679433735675</v>
      </c>
      <c r="AH106" s="885">
        <f>'Recycling - Case 1'!AM196</f>
        <v>0</v>
      </c>
      <c r="AI106" s="886">
        <f>Parameters!S207</f>
        <v>0.71500000000000008</v>
      </c>
      <c r="AJ106" s="887">
        <f t="shared" si="75"/>
        <v>0.4</v>
      </c>
      <c r="AK106" s="888">
        <f t="shared" si="76"/>
        <v>0</v>
      </c>
      <c r="AL106" s="888">
        <f t="shared" si="77"/>
        <v>0</v>
      </c>
      <c r="AM106" s="311">
        <f t="shared" si="78"/>
        <v>0</v>
      </c>
      <c r="AN106" s="888">
        <f t="shared" si="79"/>
        <v>4521.1670490907327</v>
      </c>
      <c r="AO106" s="888">
        <f t="shared" si="80"/>
        <v>231.80519150603513</v>
      </c>
      <c r="AP106" s="889">
        <f t="shared" si="81"/>
        <v>154.53679433735675</v>
      </c>
      <c r="AR106" s="901">
        <f>'Recycling - Case 1'!G116</f>
        <v>709.32362801394981</v>
      </c>
      <c r="AS106" s="920">
        <v>1</v>
      </c>
      <c r="AT106" s="902">
        <f t="shared" si="82"/>
        <v>0.05</v>
      </c>
      <c r="AU106" s="903">
        <f t="shared" si="83"/>
        <v>17.733090700348747</v>
      </c>
      <c r="AV106" s="903">
        <f t="shared" si="84"/>
        <v>17.733090700348747</v>
      </c>
      <c r="AW106" s="279">
        <f t="shared" si="85"/>
        <v>0</v>
      </c>
      <c r="AX106" s="903">
        <f t="shared" si="51"/>
        <v>230.05903852032688</v>
      </c>
      <c r="AY106" s="903">
        <f t="shared" si="54"/>
        <v>13.129503355157674</v>
      </c>
      <c r="AZ106" s="921">
        <f t="shared" si="52"/>
        <v>8.753002236771783</v>
      </c>
      <c r="BB106" s="913">
        <f t="shared" si="86"/>
        <v>300.58985118867776</v>
      </c>
      <c r="BC106" s="914">
        <f t="shared" si="87"/>
        <v>154.53679433735675</v>
      </c>
      <c r="BD106" s="933">
        <f t="shared" si="101"/>
        <v>8.753002236771783</v>
      </c>
      <c r="BE106" s="914">
        <f t="shared" si="60"/>
        <v>463.87964776280631</v>
      </c>
      <c r="BF106" s="145">
        <v>0</v>
      </c>
      <c r="BG106" s="927">
        <f t="shared" si="88"/>
        <v>463.87964776280631</v>
      </c>
      <c r="BI106" s="913">
        <f t="shared" si="89"/>
        <v>300.58985118867776</v>
      </c>
      <c r="BJ106" s="914">
        <f t="shared" si="90"/>
        <v>154.53679433735675</v>
      </c>
      <c r="BK106" s="933">
        <f t="shared" si="91"/>
        <v>8.753002236771783</v>
      </c>
      <c r="BL106" s="914">
        <f t="shared" si="61"/>
        <v>463.87964776280631</v>
      </c>
      <c r="BM106" s="145">
        <v>0</v>
      </c>
      <c r="BN106" s="927">
        <f t="shared" si="92"/>
        <v>463.87964776280631</v>
      </c>
    </row>
    <row r="107" spans="1:66">
      <c r="A107" s="805">
        <f>'Input data'!A137</f>
        <v>2037</v>
      </c>
      <c r="B107" s="728">
        <f>'Input data'!B137</f>
        <v>69.830333629884052</v>
      </c>
      <c r="C107" s="728">
        <f>'Recycling - Case 1'!AK117/B107</f>
        <v>283.06754357735701</v>
      </c>
      <c r="D107" s="729">
        <f>'Recycling - Case 1'!AM117</f>
        <v>0.19732230568709686</v>
      </c>
      <c r="E107" s="729">
        <f>'Recycling - Case 1'!BE117</f>
        <v>0.18325373369670417</v>
      </c>
      <c r="F107" s="729">
        <f>'Recycling - Case 1'!BF117</f>
        <v>0.23241531117206654</v>
      </c>
      <c r="G107" s="729">
        <f>'Recycling - Case 1'!BG117</f>
        <v>7.5670733315995969E-2</v>
      </c>
      <c r="H107" s="729">
        <f>'Recycling - Case 1'!BH117</f>
        <v>0</v>
      </c>
      <c r="I107" s="729">
        <f>'Recycling - Case 1'!BI117</f>
        <v>0</v>
      </c>
      <c r="J107" s="729">
        <f>'Recycling - Case 1'!BJ117</f>
        <v>0</v>
      </c>
      <c r="K107" s="729">
        <f>'Recycling - Case 1'!BK117</f>
        <v>0.5086602218152334</v>
      </c>
      <c r="L107" s="730">
        <f t="shared" si="100"/>
        <v>1</v>
      </c>
      <c r="N107" s="740">
        <f t="shared" si="57"/>
        <v>3900.4110186862777</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0.10423941561531733</v>
      </c>
      <c r="Q107" s="734">
        <f t="shared" si="62"/>
        <v>185.44973582347129</v>
      </c>
      <c r="R107" s="734">
        <f t="shared" si="63"/>
        <v>185.44973582347129</v>
      </c>
      <c r="S107" s="737">
        <f t="shared" si="64"/>
        <v>0</v>
      </c>
      <c r="T107" s="734">
        <f t="shared" si="65"/>
        <v>8729.5072393978317</v>
      </c>
      <c r="U107" s="734">
        <f t="shared" si="66"/>
        <v>438.06319570805238</v>
      </c>
      <c r="V107" s="741">
        <f t="shared" si="67"/>
        <v>292.0421304720349</v>
      </c>
      <c r="W107" s="383"/>
      <c r="X107" s="885">
        <f>'Recycling - Case 1'!AM157</f>
        <v>0</v>
      </c>
      <c r="Y107" s="886">
        <f>Parameters!S208</f>
        <v>0.71500000000000008</v>
      </c>
      <c r="Z107" s="887">
        <f t="shared" si="68"/>
        <v>0.4</v>
      </c>
      <c r="AA107" s="888">
        <f t="shared" si="69"/>
        <v>0</v>
      </c>
      <c r="AB107" s="888">
        <f t="shared" si="70"/>
        <v>0</v>
      </c>
      <c r="AC107" s="311">
        <f t="shared" si="71"/>
        <v>0</v>
      </c>
      <c r="AD107" s="888">
        <f t="shared" si="72"/>
        <v>4300.6671301781689</v>
      </c>
      <c r="AE107" s="888">
        <f t="shared" si="73"/>
        <v>220.4999189125636</v>
      </c>
      <c r="AF107" s="889">
        <f t="shared" si="74"/>
        <v>146.99994594170906</v>
      </c>
      <c r="AH107" s="885">
        <f>'Recycling - Case 1'!AM197</f>
        <v>0</v>
      </c>
      <c r="AI107" s="886">
        <f>Parameters!S208</f>
        <v>0.71500000000000008</v>
      </c>
      <c r="AJ107" s="887">
        <f t="shared" si="75"/>
        <v>0.4</v>
      </c>
      <c r="AK107" s="888">
        <f t="shared" si="76"/>
        <v>0</v>
      </c>
      <c r="AL107" s="888">
        <f t="shared" si="77"/>
        <v>0</v>
      </c>
      <c r="AM107" s="311">
        <f t="shared" si="78"/>
        <v>0</v>
      </c>
      <c r="AN107" s="888">
        <f t="shared" si="79"/>
        <v>4300.6671301781689</v>
      </c>
      <c r="AO107" s="888">
        <f t="shared" si="80"/>
        <v>220.4999189125636</v>
      </c>
      <c r="AP107" s="889">
        <f t="shared" si="81"/>
        <v>146.99994594170906</v>
      </c>
      <c r="AR107" s="901">
        <f>'Recycling - Case 1'!G117</f>
        <v>719.54583678051574</v>
      </c>
      <c r="AS107" s="920">
        <v>1</v>
      </c>
      <c r="AT107" s="902">
        <f t="shared" si="82"/>
        <v>0.05</v>
      </c>
      <c r="AU107" s="903">
        <f t="shared" si="83"/>
        <v>17.988645919512894</v>
      </c>
      <c r="AV107" s="903">
        <f t="shared" si="84"/>
        <v>17.988645919512894</v>
      </c>
      <c r="AW107" s="279">
        <f t="shared" si="85"/>
        <v>0</v>
      </c>
      <c r="AX107" s="903">
        <f t="shared" si="51"/>
        <v>234.65008902844923</v>
      </c>
      <c r="AY107" s="903">
        <f t="shared" si="54"/>
        <v>13.397595411390526</v>
      </c>
      <c r="AZ107" s="921">
        <f t="shared" si="52"/>
        <v>8.9317302742603513</v>
      </c>
      <c r="BB107" s="913">
        <f t="shared" si="86"/>
        <v>292.0421304720349</v>
      </c>
      <c r="BC107" s="914">
        <f t="shared" si="87"/>
        <v>146.99994594170906</v>
      </c>
      <c r="BD107" s="933">
        <f t="shared" si="101"/>
        <v>8.9317302742603513</v>
      </c>
      <c r="BE107" s="914">
        <f t="shared" si="60"/>
        <v>447.97380668800434</v>
      </c>
      <c r="BF107" s="145">
        <v>0</v>
      </c>
      <c r="BG107" s="927">
        <f t="shared" si="88"/>
        <v>447.97380668800434</v>
      </c>
      <c r="BI107" s="913">
        <f t="shared" si="89"/>
        <v>292.0421304720349</v>
      </c>
      <c r="BJ107" s="914">
        <f t="shared" si="90"/>
        <v>146.99994594170906</v>
      </c>
      <c r="BK107" s="933">
        <f t="shared" si="91"/>
        <v>8.9317302742603513</v>
      </c>
      <c r="BL107" s="914">
        <f t="shared" si="61"/>
        <v>447.97380668800434</v>
      </c>
      <c r="BM107" s="145">
        <v>0</v>
      </c>
      <c r="BN107" s="927">
        <f t="shared" si="92"/>
        <v>447.97380668800434</v>
      </c>
    </row>
    <row r="108" spans="1:66">
      <c r="A108" s="805">
        <f>'Input data'!A138</f>
        <v>2038</v>
      </c>
      <c r="B108" s="728">
        <f>'Input data'!B138</f>
        <v>70.341572426693446</v>
      </c>
      <c r="C108" s="728">
        <f>'Recycling - Case 1'!AK118/B108</f>
        <v>278.64590360939866</v>
      </c>
      <c r="D108" s="729">
        <f>'Recycling - Case 1'!AM118</f>
        <v>0.19046816691183077</v>
      </c>
      <c r="E108" s="729">
        <f>'Recycling - Case 1'!BE118</f>
        <v>0.18378174859788676</v>
      </c>
      <c r="F108" s="729">
        <f>'Recycling - Case 1'!BF118</f>
        <v>0.2330849769141296</v>
      </c>
      <c r="G108" s="729">
        <f>'Recycling - Case 1'!BG118</f>
        <v>7.5515633929668854E-2</v>
      </c>
      <c r="H108" s="729">
        <f>'Recycling - Case 1'!BH118</f>
        <v>0</v>
      </c>
      <c r="I108" s="729">
        <f>'Recycling - Case 1'!BI118</f>
        <v>0</v>
      </c>
      <c r="J108" s="729">
        <f>'Recycling - Case 1'!BJ118</f>
        <v>0</v>
      </c>
      <c r="K108" s="729">
        <f>'Recycling - Case 1'!BK118</f>
        <v>0.50761764055831471</v>
      </c>
      <c r="L108" s="730">
        <f t="shared" si="100"/>
        <v>1</v>
      </c>
      <c r="N108" s="740">
        <f t="shared" si="57"/>
        <v>3733.2505464568658</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0.10439051124437648</v>
      </c>
      <c r="Q108" s="734">
        <f t="shared" si="62"/>
        <v>179.07447128149684</v>
      </c>
      <c r="R108" s="734">
        <f t="shared" si="63"/>
        <v>179.07447128149684</v>
      </c>
      <c r="S108" s="737">
        <f t="shared" si="64"/>
        <v>0</v>
      </c>
      <c r="T108" s="734">
        <f t="shared" si="65"/>
        <v>8482.8386187887136</v>
      </c>
      <c r="U108" s="734">
        <f t="shared" si="66"/>
        <v>425.74309189061552</v>
      </c>
      <c r="V108" s="741">
        <f t="shared" si="67"/>
        <v>283.82872792707701</v>
      </c>
      <c r="W108" s="383"/>
      <c r="X108" s="885">
        <f>'Recycling - Case 1'!AM158</f>
        <v>0</v>
      </c>
      <c r="Y108" s="886">
        <f>Parameters!S209</f>
        <v>0.71500000000000008</v>
      </c>
      <c r="Z108" s="887">
        <f t="shared" si="68"/>
        <v>0.4</v>
      </c>
      <c r="AA108" s="888">
        <f t="shared" si="69"/>
        <v>0</v>
      </c>
      <c r="AB108" s="888">
        <f t="shared" si="70"/>
        <v>0</v>
      </c>
      <c r="AC108" s="311">
        <f t="shared" si="71"/>
        <v>0</v>
      </c>
      <c r="AD108" s="888">
        <f t="shared" si="72"/>
        <v>4090.9211192085168</v>
      </c>
      <c r="AE108" s="888">
        <f t="shared" si="73"/>
        <v>209.74601096965196</v>
      </c>
      <c r="AF108" s="889">
        <f t="shared" si="74"/>
        <v>139.83067397976797</v>
      </c>
      <c r="AH108" s="885">
        <f>'Recycling - Case 1'!AM198</f>
        <v>0</v>
      </c>
      <c r="AI108" s="886">
        <f>Parameters!S209</f>
        <v>0.71500000000000008</v>
      </c>
      <c r="AJ108" s="887">
        <f t="shared" si="75"/>
        <v>0.4</v>
      </c>
      <c r="AK108" s="888">
        <f t="shared" si="76"/>
        <v>0</v>
      </c>
      <c r="AL108" s="888">
        <f t="shared" si="77"/>
        <v>0</v>
      </c>
      <c r="AM108" s="311">
        <f t="shared" si="78"/>
        <v>0</v>
      </c>
      <c r="AN108" s="888">
        <f t="shared" si="79"/>
        <v>4090.9211192085168</v>
      </c>
      <c r="AO108" s="888">
        <f t="shared" si="80"/>
        <v>209.74601096965196</v>
      </c>
      <c r="AP108" s="889">
        <f t="shared" si="81"/>
        <v>139.83067397976797</v>
      </c>
      <c r="AR108" s="901">
        <f>'Recycling - Case 1'!G118</f>
        <v>729.87970305381032</v>
      </c>
      <c r="AS108" s="920">
        <v>1</v>
      </c>
      <c r="AT108" s="902">
        <f t="shared" si="82"/>
        <v>0.05</v>
      </c>
      <c r="AU108" s="903">
        <f t="shared" si="83"/>
        <v>18.24699257634526</v>
      </c>
      <c r="AV108" s="903">
        <f t="shared" si="84"/>
        <v>18.24699257634526</v>
      </c>
      <c r="AW108" s="279">
        <f t="shared" si="85"/>
        <v>0</v>
      </c>
      <c r="AX108" s="903">
        <f t="shared" si="51"/>
        <v>239.23212422572519</v>
      </c>
      <c r="AY108" s="903">
        <f t="shared" si="54"/>
        <v>13.664957379069303</v>
      </c>
      <c r="AZ108" s="921">
        <f t="shared" si="52"/>
        <v>9.1099715860462016</v>
      </c>
      <c r="BB108" s="913">
        <f t="shared" si="86"/>
        <v>283.82872792707701</v>
      </c>
      <c r="BC108" s="914">
        <f t="shared" si="87"/>
        <v>139.83067397976797</v>
      </c>
      <c r="BD108" s="933">
        <f t="shared" si="101"/>
        <v>9.1099715860462016</v>
      </c>
      <c r="BE108" s="914">
        <f t="shared" si="60"/>
        <v>432.76937349289119</v>
      </c>
      <c r="BF108" s="145">
        <v>0</v>
      </c>
      <c r="BG108" s="927">
        <f t="shared" si="88"/>
        <v>432.76937349289119</v>
      </c>
      <c r="BI108" s="913">
        <f t="shared" si="89"/>
        <v>283.82872792707701</v>
      </c>
      <c r="BJ108" s="914">
        <f t="shared" si="90"/>
        <v>139.83067397976797</v>
      </c>
      <c r="BK108" s="933">
        <f t="shared" si="91"/>
        <v>9.1099715860462016</v>
      </c>
      <c r="BL108" s="914">
        <f t="shared" si="61"/>
        <v>432.76937349289119</v>
      </c>
      <c r="BM108" s="145">
        <v>0</v>
      </c>
      <c r="BN108" s="927">
        <f t="shared" si="92"/>
        <v>432.76937349289119</v>
      </c>
    </row>
    <row r="109" spans="1:66">
      <c r="A109" s="805">
        <f>'Input data'!A139</f>
        <v>2039</v>
      </c>
      <c r="B109" s="728">
        <f>'Input data'!B139</f>
        <v>70.856554082712819</v>
      </c>
      <c r="C109" s="728">
        <f>'Recycling - Case 1'!AK119/B109</f>
        <v>274.28336017466643</v>
      </c>
      <c r="D109" s="729">
        <f>'Recycling - Case 1'!AM119</f>
        <v>0.18349017699734635</v>
      </c>
      <c r="E109" s="729">
        <f>'Recycling - Case 1'!BE119</f>
        <v>0.18430378929892163</v>
      </c>
      <c r="F109" s="729">
        <f>'Recycling - Case 1'!BF119</f>
        <v>0.23374706575416554</v>
      </c>
      <c r="G109" s="729">
        <f>'Recycling - Case 1'!BG119</f>
        <v>7.5362289408165917E-2</v>
      </c>
      <c r="H109" s="729">
        <f>'Recycling - Case 1'!BH119</f>
        <v>0</v>
      </c>
      <c r="I109" s="729">
        <f>'Recycling - Case 1'!BI119</f>
        <v>0</v>
      </c>
      <c r="J109" s="729">
        <f>'Recycling - Case 1'!BJ119</f>
        <v>0</v>
      </c>
      <c r="K109" s="729">
        <f>'Recycling - Case 1'!BK119</f>
        <v>0.50658685553874683</v>
      </c>
      <c r="L109" s="730">
        <f t="shared" si="100"/>
        <v>0.99999999999999989</v>
      </c>
      <c r="N109" s="740">
        <f t="shared" si="57"/>
        <v>3566.0900742274548</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0.10453989730893773</v>
      </c>
      <c r="Q109" s="734">
        <f t="shared" si="62"/>
        <v>172.55919370510694</v>
      </c>
      <c r="R109" s="734">
        <f t="shared" si="63"/>
        <v>172.55919370510694</v>
      </c>
      <c r="S109" s="737">
        <f t="shared" si="64"/>
        <v>0</v>
      </c>
      <c r="T109" s="734">
        <f t="shared" si="65"/>
        <v>8241.6848911879279</v>
      </c>
      <c r="U109" s="734">
        <f t="shared" si="66"/>
        <v>413.71292130589381</v>
      </c>
      <c r="V109" s="741">
        <f t="shared" si="67"/>
        <v>275.80861420392921</v>
      </c>
      <c r="W109" s="383"/>
      <c r="X109" s="885">
        <f>'Recycling - Case 1'!AM159</f>
        <v>0</v>
      </c>
      <c r="Y109" s="886">
        <f>Parameters!S210</f>
        <v>0.71500000000000008</v>
      </c>
      <c r="Z109" s="887">
        <f t="shared" si="68"/>
        <v>0.4</v>
      </c>
      <c r="AA109" s="888">
        <f t="shared" si="69"/>
        <v>0</v>
      </c>
      <c r="AB109" s="888">
        <f t="shared" si="70"/>
        <v>0</v>
      </c>
      <c r="AC109" s="311">
        <f t="shared" si="71"/>
        <v>0</v>
      </c>
      <c r="AD109" s="888">
        <f t="shared" si="72"/>
        <v>3891.4045419025342</v>
      </c>
      <c r="AE109" s="888">
        <f t="shared" si="73"/>
        <v>199.51657730598248</v>
      </c>
      <c r="AF109" s="889">
        <f t="shared" si="74"/>
        <v>133.01105153732166</v>
      </c>
      <c r="AH109" s="885">
        <f>'Recycling - Case 1'!AM199</f>
        <v>0</v>
      </c>
      <c r="AI109" s="886">
        <f>Parameters!S210</f>
        <v>0.71500000000000008</v>
      </c>
      <c r="AJ109" s="887">
        <f t="shared" si="75"/>
        <v>0.4</v>
      </c>
      <c r="AK109" s="888">
        <f t="shared" si="76"/>
        <v>0</v>
      </c>
      <c r="AL109" s="888">
        <f t="shared" si="77"/>
        <v>0</v>
      </c>
      <c r="AM109" s="311">
        <f t="shared" si="78"/>
        <v>0</v>
      </c>
      <c r="AN109" s="888">
        <f t="shared" si="79"/>
        <v>3891.4045419025342</v>
      </c>
      <c r="AO109" s="888">
        <f t="shared" si="80"/>
        <v>199.51657730598248</v>
      </c>
      <c r="AP109" s="889">
        <f t="shared" si="81"/>
        <v>133.01105153732166</v>
      </c>
      <c r="AR109" s="901">
        <f>'Recycling - Case 1'!G119</f>
        <v>740.32631385442471</v>
      </c>
      <c r="AS109" s="920">
        <v>1</v>
      </c>
      <c r="AT109" s="902">
        <f t="shared" si="82"/>
        <v>0.05</v>
      </c>
      <c r="AU109" s="903">
        <f t="shared" si="83"/>
        <v>18.508157846360618</v>
      </c>
      <c r="AV109" s="903">
        <f t="shared" si="84"/>
        <v>18.508157846360618</v>
      </c>
      <c r="AW109" s="279">
        <f t="shared" si="85"/>
        <v>0</v>
      </c>
      <c r="AX109" s="903">
        <f t="shared" si="51"/>
        <v>243.80848773616975</v>
      </c>
      <c r="AY109" s="903">
        <f t="shared" si="54"/>
        <v>13.931794335916058</v>
      </c>
      <c r="AZ109" s="921">
        <f t="shared" si="52"/>
        <v>9.2878628906107057</v>
      </c>
      <c r="BB109" s="913">
        <f t="shared" si="86"/>
        <v>275.80861420392921</v>
      </c>
      <c r="BC109" s="914">
        <f t="shared" si="87"/>
        <v>133.01105153732166</v>
      </c>
      <c r="BD109" s="933">
        <f t="shared" si="101"/>
        <v>9.2878628906107057</v>
      </c>
      <c r="BE109" s="914">
        <f t="shared" si="60"/>
        <v>418.10752863186161</v>
      </c>
      <c r="BF109" s="145">
        <v>0</v>
      </c>
      <c r="BG109" s="927">
        <f t="shared" si="88"/>
        <v>418.10752863186161</v>
      </c>
      <c r="BI109" s="913">
        <f t="shared" si="89"/>
        <v>275.80861420392921</v>
      </c>
      <c r="BJ109" s="914">
        <f t="shared" si="90"/>
        <v>133.01105153732166</v>
      </c>
      <c r="BK109" s="933">
        <f t="shared" si="91"/>
        <v>9.2878628906107057</v>
      </c>
      <c r="BL109" s="914">
        <f t="shared" si="61"/>
        <v>418.10752863186161</v>
      </c>
      <c r="BM109" s="145">
        <v>0</v>
      </c>
      <c r="BN109" s="927">
        <f t="shared" si="92"/>
        <v>418.10752863186161</v>
      </c>
    </row>
    <row r="110" spans="1:66">
      <c r="A110" s="805">
        <f>'Input data'!A140</f>
        <v>2040</v>
      </c>
      <c r="B110" s="728">
        <f>'Input data'!B140</f>
        <v>71.375305999999995</v>
      </c>
      <c r="C110" s="728">
        <f>'Recycling - Case 1'!AK120/B110</f>
        <v>269.97920138349122</v>
      </c>
      <c r="D110" s="729">
        <f>'Recycling - Case 1'!AM120</f>
        <v>0.17638590518074596</v>
      </c>
      <c r="E110" s="729">
        <f>'Recycling - Case 1'!BE120</f>
        <v>0.18481994296669221</v>
      </c>
      <c r="F110" s="729">
        <f>'Recycling - Case 1'!BF120</f>
        <v>0.23440168824336427</v>
      </c>
      <c r="G110" s="729">
        <f>'Recycling - Case 1'!BG120</f>
        <v>7.5210674147039053E-2</v>
      </c>
      <c r="H110" s="729">
        <f>'Recycling - Case 1'!BH120</f>
        <v>0</v>
      </c>
      <c r="I110" s="729">
        <f>'Recycling - Case 1'!BI120</f>
        <v>0</v>
      </c>
      <c r="J110" s="729">
        <f>'Recycling - Case 1'!BJ120</f>
        <v>0</v>
      </c>
      <c r="K110" s="729">
        <f>'Recycling - Case 1'!BK120</f>
        <v>0.50556769464290463</v>
      </c>
      <c r="L110" s="730">
        <f t="shared" si="100"/>
        <v>1.0000000000000002</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0.10468759875249231</v>
      </c>
      <c r="Q110" s="734">
        <f t="shared" si="62"/>
        <v>165.90376916125425</v>
      </c>
      <c r="R110" s="734">
        <f t="shared" si="63"/>
        <v>165.90376916125425</v>
      </c>
      <c r="S110" s="737">
        <f t="shared" si="64"/>
        <v>0</v>
      </c>
      <c r="T110" s="734">
        <f t="shared" si="65"/>
        <v>8005.6369451221763</v>
      </c>
      <c r="U110" s="734">
        <f t="shared" si="66"/>
        <v>401.95171522700542</v>
      </c>
      <c r="V110" s="741">
        <f t="shared" si="67"/>
        <v>267.96781015133695</v>
      </c>
      <c r="W110" s="383"/>
      <c r="X110" s="885">
        <f>'Recycling - Case 1'!AM160</f>
        <v>0</v>
      </c>
      <c r="Y110" s="886">
        <f>Parameters!S211</f>
        <v>0.71500000000000008</v>
      </c>
      <c r="Z110" s="887">
        <f t="shared" si="68"/>
        <v>0.4</v>
      </c>
      <c r="AA110" s="888">
        <f t="shared" si="69"/>
        <v>0</v>
      </c>
      <c r="AB110" s="888">
        <f t="shared" si="70"/>
        <v>0</v>
      </c>
      <c r="AC110" s="311">
        <f t="shared" si="71"/>
        <v>0</v>
      </c>
      <c r="AD110" s="888">
        <f t="shared" si="72"/>
        <v>3701.6185028934124</v>
      </c>
      <c r="AE110" s="888">
        <f t="shared" si="73"/>
        <v>189.78603900912194</v>
      </c>
      <c r="AF110" s="889">
        <f t="shared" si="74"/>
        <v>126.52402600608129</v>
      </c>
      <c r="AH110" s="885">
        <f>'Recycling - Case 1'!AM200</f>
        <v>0</v>
      </c>
      <c r="AI110" s="886">
        <f>Parameters!S211</f>
        <v>0.71500000000000008</v>
      </c>
      <c r="AJ110" s="887">
        <f t="shared" si="75"/>
        <v>0.4</v>
      </c>
      <c r="AK110" s="888">
        <f t="shared" si="76"/>
        <v>0</v>
      </c>
      <c r="AL110" s="888">
        <f t="shared" si="77"/>
        <v>0</v>
      </c>
      <c r="AM110" s="311">
        <f t="shared" si="78"/>
        <v>0</v>
      </c>
      <c r="AN110" s="888">
        <f t="shared" si="79"/>
        <v>3701.6185028934124</v>
      </c>
      <c r="AO110" s="888">
        <f t="shared" si="80"/>
        <v>189.78603900912194</v>
      </c>
      <c r="AP110" s="889">
        <f t="shared" si="81"/>
        <v>126.52402600608129</v>
      </c>
      <c r="AR110" s="901">
        <f>'Recycling - Case 1'!G120</f>
        <v>750.88676613467851</v>
      </c>
      <c r="AS110" s="920">
        <v>1</v>
      </c>
      <c r="AT110" s="902">
        <f t="shared" si="82"/>
        <v>0.05</v>
      </c>
      <c r="AU110" s="903">
        <f t="shared" si="83"/>
        <v>18.772169153366963</v>
      </c>
      <c r="AV110" s="903">
        <f t="shared" si="84"/>
        <v>18.772169153366963</v>
      </c>
      <c r="AW110" s="279">
        <f t="shared" si="85"/>
        <v>0</v>
      </c>
      <c r="AX110" s="903">
        <f t="shared" si="51"/>
        <v>248.38235589010191</v>
      </c>
      <c r="AY110" s="903">
        <f t="shared" si="54"/>
        <v>14.198300999434821</v>
      </c>
      <c r="AZ110" s="921">
        <f t="shared" si="52"/>
        <v>9.4655339996232133</v>
      </c>
      <c r="BB110" s="913">
        <f t="shared" si="86"/>
        <v>267.96781015133695</v>
      </c>
      <c r="BC110" s="914">
        <f t="shared" si="87"/>
        <v>126.52402600608129</v>
      </c>
      <c r="BD110" s="933">
        <f t="shared" si="101"/>
        <v>9.4655339996232133</v>
      </c>
      <c r="BE110" s="914">
        <f t="shared" si="60"/>
        <v>403.95737015704145</v>
      </c>
      <c r="BF110" s="145">
        <v>0</v>
      </c>
      <c r="BG110" s="927">
        <f t="shared" si="88"/>
        <v>403.95737015704145</v>
      </c>
      <c r="BI110" s="913">
        <f t="shared" si="89"/>
        <v>267.96781015133695</v>
      </c>
      <c r="BJ110" s="914">
        <f t="shared" si="90"/>
        <v>126.52402600608129</v>
      </c>
      <c r="BK110" s="933">
        <f t="shared" si="91"/>
        <v>9.4655339996232133</v>
      </c>
      <c r="BL110" s="914">
        <f t="shared" si="61"/>
        <v>403.95737015704145</v>
      </c>
      <c r="BM110" s="145">
        <v>0</v>
      </c>
      <c r="BN110" s="927">
        <f t="shared" si="92"/>
        <v>403.95737015704145</v>
      </c>
    </row>
    <row r="111" spans="1:66">
      <c r="A111" s="805">
        <f>'Input data'!A141</f>
        <v>2041</v>
      </c>
      <c r="B111" s="728">
        <f>'Input data'!B141</f>
        <v>71.818612994947316</v>
      </c>
      <c r="C111" s="728">
        <f>'Recycling - Case 1'!AK121/B111</f>
        <v>265.90210513653562</v>
      </c>
      <c r="D111" s="729">
        <f>'Recycling - Case 1'!AM121</f>
        <v>0.16923163060959834</v>
      </c>
      <c r="E111" s="729">
        <f>'Recycling - Case 1'!BE121</f>
        <v>0.18525351002095683</v>
      </c>
      <c r="F111" s="729">
        <f>'Recycling - Case 1'!BF121</f>
        <v>0.23495156856393473</v>
      </c>
      <c r="G111" s="729">
        <f>'Recycling - Case 1'!BG121</f>
        <v>7.5083317923005433E-2</v>
      </c>
      <c r="H111" s="729">
        <f>'Recycling - Case 1'!BH121</f>
        <v>0</v>
      </c>
      <c r="I111" s="729">
        <f>'Recycling - Case 1'!BI121</f>
        <v>0</v>
      </c>
      <c r="J111" s="729">
        <f>'Recycling - Case 1'!BJ121</f>
        <v>0</v>
      </c>
      <c r="K111" s="729">
        <f>'Recycling - Case 1'!BK121</f>
        <v>0.50471160349210298</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0.10481166738513265</v>
      </c>
      <c r="Q111" s="734">
        <f t="shared" si="62"/>
        <v>159.07471954791859</v>
      </c>
      <c r="R111" s="734">
        <f t="shared" si="63"/>
        <v>159.07471954791859</v>
      </c>
      <c r="S111" s="737">
        <f t="shared" si="64"/>
        <v>0</v>
      </c>
      <c r="T111" s="734">
        <f t="shared" si="65"/>
        <v>7774.2721436181409</v>
      </c>
      <c r="U111" s="734">
        <f t="shared" si="66"/>
        <v>390.43952105195433</v>
      </c>
      <c r="V111" s="741">
        <f t="shared" si="67"/>
        <v>260.2930140346362</v>
      </c>
      <c r="W111" s="383"/>
      <c r="X111" s="885">
        <f>'Recycling - Case 1'!AM161</f>
        <v>0</v>
      </c>
      <c r="Y111" s="886">
        <f>Parameters!S212</f>
        <v>0.71500000000000008</v>
      </c>
      <c r="Z111" s="887">
        <f t="shared" si="68"/>
        <v>0.4</v>
      </c>
      <c r="AA111" s="888">
        <f t="shared" si="69"/>
        <v>0</v>
      </c>
      <c r="AB111" s="888">
        <f t="shared" si="70"/>
        <v>0</v>
      </c>
      <c r="AC111" s="311">
        <f t="shared" si="71"/>
        <v>0</v>
      </c>
      <c r="AD111" s="888">
        <f t="shared" si="72"/>
        <v>3521.0884382284953</v>
      </c>
      <c r="AE111" s="888">
        <f t="shared" si="73"/>
        <v>180.53006466491712</v>
      </c>
      <c r="AF111" s="889">
        <f t="shared" si="74"/>
        <v>120.35337644327808</v>
      </c>
      <c r="AH111" s="885">
        <f>'Recycling - Case 1'!AM201</f>
        <v>0</v>
      </c>
      <c r="AI111" s="886">
        <f>Parameters!S212</f>
        <v>0.71500000000000008</v>
      </c>
      <c r="AJ111" s="887">
        <f t="shared" si="75"/>
        <v>0.4</v>
      </c>
      <c r="AK111" s="888">
        <f t="shared" si="76"/>
        <v>0</v>
      </c>
      <c r="AL111" s="888">
        <f t="shared" si="77"/>
        <v>0</v>
      </c>
      <c r="AM111" s="311">
        <f t="shared" si="78"/>
        <v>0</v>
      </c>
      <c r="AN111" s="888">
        <f t="shared" si="79"/>
        <v>3521.0884382284953</v>
      </c>
      <c r="AO111" s="888">
        <f t="shared" si="80"/>
        <v>180.53006466491712</v>
      </c>
      <c r="AP111" s="889">
        <f t="shared" si="81"/>
        <v>120.35337644327808</v>
      </c>
      <c r="AR111" s="901">
        <f>'Recycling - Case 1'!G121</f>
        <v>760.72280514389797</v>
      </c>
      <c r="AS111" s="920">
        <v>1</v>
      </c>
      <c r="AT111" s="902">
        <f t="shared" si="82"/>
        <v>0.05</v>
      </c>
      <c r="AU111" s="903">
        <f t="shared" si="83"/>
        <v>19.018070128597451</v>
      </c>
      <c r="AV111" s="903">
        <f t="shared" si="84"/>
        <v>19.018070128597451</v>
      </c>
      <c r="AW111" s="279">
        <f t="shared" si="85"/>
        <v>0</v>
      </c>
      <c r="AX111" s="903">
        <f t="shared" si="51"/>
        <v>252.93576367399615</v>
      </c>
      <c r="AY111" s="903">
        <f t="shared" si="54"/>
        <v>14.464662344703212</v>
      </c>
      <c r="AZ111" s="921">
        <f t="shared" si="52"/>
        <v>9.6431082298021416</v>
      </c>
      <c r="BB111" s="913">
        <f t="shared" si="86"/>
        <v>260.2930140346362</v>
      </c>
      <c r="BC111" s="914">
        <f t="shared" si="87"/>
        <v>120.35337644327808</v>
      </c>
      <c r="BD111" s="933">
        <f t="shared" si="101"/>
        <v>9.6431082298021416</v>
      </c>
      <c r="BE111" s="914">
        <f t="shared" si="60"/>
        <v>390.2894987077164</v>
      </c>
      <c r="BF111" s="145">
        <v>0</v>
      </c>
      <c r="BG111" s="927">
        <f t="shared" si="88"/>
        <v>390.2894987077164</v>
      </c>
      <c r="BI111" s="913">
        <f t="shared" si="89"/>
        <v>260.2930140346362</v>
      </c>
      <c r="BJ111" s="914">
        <f t="shared" si="90"/>
        <v>120.35337644327808</v>
      </c>
      <c r="BK111" s="933">
        <f t="shared" si="91"/>
        <v>9.6431082298021416</v>
      </c>
      <c r="BL111" s="914">
        <f t="shared" si="61"/>
        <v>390.2894987077164</v>
      </c>
      <c r="BM111" s="145">
        <v>0</v>
      </c>
      <c r="BN111" s="927">
        <f t="shared" si="92"/>
        <v>390.2894987077164</v>
      </c>
    </row>
    <row r="112" spans="1:66">
      <c r="A112" s="805">
        <f>'Input data'!A142</f>
        <v>2042</v>
      </c>
      <c r="B112" s="728">
        <f>'Input data'!B142</f>
        <v>72.264673338395411</v>
      </c>
      <c r="C112" s="728">
        <f>'Recycling - Case 1'!AK122/B112</f>
        <v>261.87232410803506</v>
      </c>
      <c r="D112" s="729">
        <f>'Recycling - Case 1'!AM122</f>
        <v>0.16194195493472113</v>
      </c>
      <c r="E112" s="729">
        <f>'Recycling - Case 1'!BE122</f>
        <v>0.18568294851289546</v>
      </c>
      <c r="F112" s="729">
        <f>'Recycling - Case 1'!BF122</f>
        <v>0.23549621275054844</v>
      </c>
      <c r="G112" s="729">
        <f>'Recycling - Case 1'!BG122</f>
        <v>7.4957174425131154E-2</v>
      </c>
      <c r="H112" s="729">
        <f>'Recycling - Case 1'!BH122</f>
        <v>0</v>
      </c>
      <c r="I112" s="729">
        <f>'Recycling - Case 1'!BI122</f>
        <v>0</v>
      </c>
      <c r="J112" s="729">
        <f>'Recycling - Case 1'!BJ122</f>
        <v>0</v>
      </c>
      <c r="K112" s="729">
        <f>'Recycling - Case 1'!BK122</f>
        <v>0.50386366431142482</v>
      </c>
      <c r="L112" s="730">
        <f t="shared" si="100"/>
        <v>0.99999999999999989</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0.10493455459709647</v>
      </c>
      <c r="Q112" s="734">
        <f t="shared" si="62"/>
        <v>152.10892194532315</v>
      </c>
      <c r="R112" s="734">
        <f t="shared" si="63"/>
        <v>152.10892194532315</v>
      </c>
      <c r="S112" s="737">
        <f t="shared" si="64"/>
        <v>0</v>
      </c>
      <c r="T112" s="734">
        <f t="shared" si="65"/>
        <v>7547.2253390311398</v>
      </c>
      <c r="U112" s="734">
        <f t="shared" si="66"/>
        <v>379.15572653232442</v>
      </c>
      <c r="V112" s="741">
        <f t="shared" si="67"/>
        <v>252.77048435488294</v>
      </c>
      <c r="W112" s="383"/>
      <c r="X112" s="885">
        <f>'Recycling - Case 1'!AM162</f>
        <v>0</v>
      </c>
      <c r="Y112" s="886">
        <f>Parameters!S213</f>
        <v>0.71500000000000008</v>
      </c>
      <c r="Z112" s="887">
        <f t="shared" si="68"/>
        <v>0.4</v>
      </c>
      <c r="AA112" s="888">
        <f t="shared" si="69"/>
        <v>0</v>
      </c>
      <c r="AB112" s="888">
        <f t="shared" si="70"/>
        <v>0</v>
      </c>
      <c r="AC112" s="311">
        <f t="shared" si="71"/>
        <v>0</v>
      </c>
      <c r="AD112" s="888">
        <f t="shared" si="72"/>
        <v>3349.3629287122094</v>
      </c>
      <c r="AE112" s="888">
        <f t="shared" si="73"/>
        <v>171.7255095162858</v>
      </c>
      <c r="AF112" s="889">
        <f t="shared" si="74"/>
        <v>114.4836730108572</v>
      </c>
      <c r="AH112" s="885">
        <f>'Recycling - Case 1'!AM202</f>
        <v>0</v>
      </c>
      <c r="AI112" s="886">
        <f>Parameters!S213</f>
        <v>0.71500000000000008</v>
      </c>
      <c r="AJ112" s="887">
        <f t="shared" si="75"/>
        <v>0.4</v>
      </c>
      <c r="AK112" s="888">
        <f t="shared" si="76"/>
        <v>0</v>
      </c>
      <c r="AL112" s="888">
        <f t="shared" si="77"/>
        <v>0</v>
      </c>
      <c r="AM112" s="311">
        <f t="shared" si="78"/>
        <v>0</v>
      </c>
      <c r="AN112" s="888">
        <f t="shared" si="79"/>
        <v>3349.3629287122094</v>
      </c>
      <c r="AO112" s="888">
        <f t="shared" si="80"/>
        <v>171.7255095162858</v>
      </c>
      <c r="AP112" s="889">
        <f t="shared" si="81"/>
        <v>114.4836730108572</v>
      </c>
      <c r="AR112" s="901">
        <f>'Recycling - Case 1'!G122</f>
        <v>770.6520601014862</v>
      </c>
      <c r="AS112" s="920">
        <v>1</v>
      </c>
      <c r="AT112" s="902">
        <f t="shared" si="82"/>
        <v>0.05</v>
      </c>
      <c r="AU112" s="903">
        <f t="shared" si="83"/>
        <v>19.266301502537157</v>
      </c>
      <c r="AV112" s="903">
        <f t="shared" si="84"/>
        <v>19.266301502537157</v>
      </c>
      <c r="AW112" s="279">
        <f t="shared" si="85"/>
        <v>0</v>
      </c>
      <c r="AX112" s="903">
        <f t="shared" si="51"/>
        <v>257.47223300575388</v>
      </c>
      <c r="AY112" s="903">
        <f t="shared" si="54"/>
        <v>14.729832170779405</v>
      </c>
      <c r="AZ112" s="921">
        <f t="shared" si="52"/>
        <v>9.8198881138529366</v>
      </c>
      <c r="BB112" s="913">
        <f t="shared" si="86"/>
        <v>252.77048435488294</v>
      </c>
      <c r="BC112" s="914">
        <f t="shared" si="87"/>
        <v>114.4836730108572</v>
      </c>
      <c r="BD112" s="933">
        <f t="shared" si="101"/>
        <v>9.8198881138529366</v>
      </c>
      <c r="BE112" s="914">
        <f t="shared" si="60"/>
        <v>377.07404547959305</v>
      </c>
      <c r="BF112" s="145">
        <v>0</v>
      </c>
      <c r="BG112" s="927">
        <f t="shared" si="88"/>
        <v>377.07404547959305</v>
      </c>
      <c r="BI112" s="913">
        <f t="shared" si="89"/>
        <v>252.77048435488294</v>
      </c>
      <c r="BJ112" s="914">
        <f t="shared" si="90"/>
        <v>114.4836730108572</v>
      </c>
      <c r="BK112" s="933">
        <f t="shared" si="91"/>
        <v>9.8198881138529366</v>
      </c>
      <c r="BL112" s="914">
        <f t="shared" si="61"/>
        <v>377.07404547959305</v>
      </c>
      <c r="BM112" s="145">
        <v>0</v>
      </c>
      <c r="BN112" s="927">
        <f t="shared" si="92"/>
        <v>377.07404547959305</v>
      </c>
    </row>
    <row r="113" spans="1:66">
      <c r="A113" s="805">
        <f>'Input data'!A143</f>
        <v>2043</v>
      </c>
      <c r="B113" s="728">
        <f>'Input data'!B143</f>
        <v>72.713504131197794</v>
      </c>
      <c r="C113" s="728">
        <f>'Recycling - Case 1'!AK123/B113</f>
        <v>257.8893723283731</v>
      </c>
      <c r="D113" s="729">
        <f>'Recycling - Case 1'!AM123</f>
        <v>0.15451375927904881</v>
      </c>
      <c r="E113" s="729">
        <f>'Recycling - Case 1'!BE123</f>
        <v>0.1861083090182826</v>
      </c>
      <c r="F113" s="729">
        <f>'Recycling - Case 1'!BF123</f>
        <v>0.2360356849469703</v>
      </c>
      <c r="G113" s="729">
        <f>'Recycling - Case 1'!BG123</f>
        <v>7.4832228797260453E-2</v>
      </c>
      <c r="H113" s="729">
        <f>'Recycling - Case 1'!BH123</f>
        <v>0</v>
      </c>
      <c r="I113" s="729">
        <f>'Recycling - Case 1'!BI123</f>
        <v>0</v>
      </c>
      <c r="J113" s="729">
        <f>'Recycling - Case 1'!BJ123</f>
        <v>0</v>
      </c>
      <c r="K113" s="729">
        <f>'Recycling - Case 1'!BK123</f>
        <v>0.50302377723748637</v>
      </c>
      <c r="L113" s="730">
        <f t="shared" si="100"/>
        <v>0.99999999999999978</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0.10505627486104063</v>
      </c>
      <c r="Q113" s="734">
        <f t="shared" si="62"/>
        <v>145.00622193228531</v>
      </c>
      <c r="R113" s="734">
        <f t="shared" si="63"/>
        <v>145.00622193228531</v>
      </c>
      <c r="S113" s="737">
        <f t="shared" si="64"/>
        <v>0</v>
      </c>
      <c r="T113" s="734">
        <f t="shared" si="65"/>
        <v>7324.1490377560831</v>
      </c>
      <c r="U113" s="734">
        <f t="shared" si="66"/>
        <v>368.08252320734249</v>
      </c>
      <c r="V113" s="741">
        <f t="shared" si="67"/>
        <v>245.388348804895</v>
      </c>
      <c r="W113" s="383"/>
      <c r="X113" s="885">
        <f>'Recycling - Case 1'!AM163</f>
        <v>0</v>
      </c>
      <c r="Y113" s="886">
        <f>Parameters!S214</f>
        <v>0.71500000000000008</v>
      </c>
      <c r="Z113" s="887">
        <f t="shared" si="68"/>
        <v>0.4</v>
      </c>
      <c r="AA113" s="888">
        <f t="shared" si="69"/>
        <v>0</v>
      </c>
      <c r="AB113" s="888">
        <f t="shared" si="70"/>
        <v>0</v>
      </c>
      <c r="AC113" s="311">
        <f t="shared" si="71"/>
        <v>0</v>
      </c>
      <c r="AD113" s="888">
        <f t="shared" si="72"/>
        <v>3186.0125711229412</v>
      </c>
      <c r="AE113" s="888">
        <f t="shared" si="73"/>
        <v>163.35035758926844</v>
      </c>
      <c r="AF113" s="889">
        <f t="shared" si="74"/>
        <v>108.90023839284562</v>
      </c>
      <c r="AH113" s="885">
        <f>'Recycling - Case 1'!AM203</f>
        <v>0</v>
      </c>
      <c r="AI113" s="886">
        <f>Parameters!S214</f>
        <v>0.71500000000000008</v>
      </c>
      <c r="AJ113" s="887">
        <f t="shared" si="75"/>
        <v>0.4</v>
      </c>
      <c r="AK113" s="888">
        <f t="shared" si="76"/>
        <v>0</v>
      </c>
      <c r="AL113" s="888">
        <f t="shared" si="77"/>
        <v>0</v>
      </c>
      <c r="AM113" s="311">
        <f t="shared" si="78"/>
        <v>0</v>
      </c>
      <c r="AN113" s="888">
        <f t="shared" si="79"/>
        <v>3186.0125711229412</v>
      </c>
      <c r="AO113" s="888">
        <f t="shared" si="80"/>
        <v>163.35035758926844</v>
      </c>
      <c r="AP113" s="889">
        <f t="shared" si="81"/>
        <v>108.90023839284562</v>
      </c>
      <c r="AR113" s="901">
        <f>'Recycling - Case 1'!G123</f>
        <v>780.67530949126035</v>
      </c>
      <c r="AS113" s="920">
        <v>1</v>
      </c>
      <c r="AT113" s="902">
        <f t="shared" si="82"/>
        <v>0.05</v>
      </c>
      <c r="AU113" s="903">
        <f t="shared" si="83"/>
        <v>19.516882737281509</v>
      </c>
      <c r="AV113" s="903">
        <f t="shared" si="84"/>
        <v>19.516882737281509</v>
      </c>
      <c r="AW113" s="279">
        <f t="shared" si="85"/>
        <v>0</v>
      </c>
      <c r="AX113" s="903">
        <f t="shared" si="51"/>
        <v>261.99510016484032</v>
      </c>
      <c r="AY113" s="903">
        <f t="shared" si="54"/>
        <v>14.994015578195068</v>
      </c>
      <c r="AZ113" s="921">
        <f t="shared" si="52"/>
        <v>9.9960103854633786</v>
      </c>
      <c r="BB113" s="913">
        <f t="shared" si="86"/>
        <v>245.388348804895</v>
      </c>
      <c r="BC113" s="914">
        <f t="shared" si="87"/>
        <v>108.90023839284562</v>
      </c>
      <c r="BD113" s="933">
        <f t="shared" si="101"/>
        <v>9.9960103854633786</v>
      </c>
      <c r="BE113" s="914">
        <f t="shared" si="60"/>
        <v>364.284597583204</v>
      </c>
      <c r="BF113" s="145">
        <v>0</v>
      </c>
      <c r="BG113" s="927">
        <f t="shared" si="88"/>
        <v>364.284597583204</v>
      </c>
      <c r="BI113" s="913">
        <f t="shared" si="89"/>
        <v>245.388348804895</v>
      </c>
      <c r="BJ113" s="914">
        <f t="shared" si="90"/>
        <v>108.90023839284562</v>
      </c>
      <c r="BK113" s="933">
        <f t="shared" si="91"/>
        <v>9.9960103854633786</v>
      </c>
      <c r="BL113" s="914">
        <f t="shared" si="61"/>
        <v>364.284597583204</v>
      </c>
      <c r="BM113" s="145">
        <v>0</v>
      </c>
      <c r="BN113" s="927">
        <f t="shared" si="92"/>
        <v>364.284597583204</v>
      </c>
    </row>
    <row r="114" spans="1:66">
      <c r="A114" s="805">
        <f>'Input data'!A144</f>
        <v>2044</v>
      </c>
      <c r="B114" s="728">
        <f>'Input data'!B144</f>
        <v>73.165122580420132</v>
      </c>
      <c r="C114" s="728">
        <f>'Recycling - Case 1'!AK124/B114</f>
        <v>253.95276926291643</v>
      </c>
      <c r="D114" s="729">
        <f>'Recycling - Case 1'!AM124</f>
        <v>0.14694383061973804</v>
      </c>
      <c r="E114" s="729">
        <f>'Recycling - Case 1'!BE124</f>
        <v>0.18652964131175637</v>
      </c>
      <c r="F114" s="729">
        <f>'Recycling - Case 1'!BF124</f>
        <v>0.23657004828090716</v>
      </c>
      <c r="G114" s="729">
        <f>'Recycling - Case 1'!BG124</f>
        <v>7.470846641856399E-2</v>
      </c>
      <c r="H114" s="729">
        <f>'Recycling - Case 1'!BH124</f>
        <v>0</v>
      </c>
      <c r="I114" s="729">
        <f>'Recycling - Case 1'!BI124</f>
        <v>0</v>
      </c>
      <c r="J114" s="729">
        <f>'Recycling - Case 1'!BJ124</f>
        <v>0</v>
      </c>
      <c r="K114" s="729">
        <f>'Recycling - Case 1'!BK124</f>
        <v>0.5021918439887727</v>
      </c>
      <c r="L114" s="730">
        <f t="shared" si="100"/>
        <v>1.0000000000000002</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0.10517684242037048</v>
      </c>
      <c r="Q114" s="734">
        <f t="shared" si="62"/>
        <v>137.76646870910633</v>
      </c>
      <c r="R114" s="734">
        <f t="shared" si="63"/>
        <v>137.76646870910633</v>
      </c>
      <c r="S114" s="737">
        <f t="shared" si="64"/>
        <v>0</v>
      </c>
      <c r="T114" s="734">
        <f t="shared" si="65"/>
        <v>7104.7125428512836</v>
      </c>
      <c r="U114" s="734">
        <f t="shared" si="66"/>
        <v>357.20296361390587</v>
      </c>
      <c r="V114" s="741">
        <f t="shared" si="67"/>
        <v>238.13530907593724</v>
      </c>
      <c r="W114" s="383"/>
      <c r="X114" s="885">
        <f>'Recycling - Case 1'!AM164</f>
        <v>49.802281990123582</v>
      </c>
      <c r="Y114" s="886">
        <f>Parameters!S215</f>
        <v>0.71500000000000008</v>
      </c>
      <c r="Z114" s="887">
        <f t="shared" si="68"/>
        <v>0.4</v>
      </c>
      <c r="AA114" s="888">
        <f t="shared" si="69"/>
        <v>7.1217263245876739</v>
      </c>
      <c r="AB114" s="888">
        <f t="shared" si="70"/>
        <v>7.1217263245876739</v>
      </c>
      <c r="AC114" s="311">
        <f t="shared" si="71"/>
        <v>0</v>
      </c>
      <c r="AD114" s="888">
        <f t="shared" si="72"/>
        <v>3037.7506308059033</v>
      </c>
      <c r="AE114" s="888">
        <f t="shared" si="73"/>
        <v>155.38366664162567</v>
      </c>
      <c r="AF114" s="889">
        <f t="shared" si="74"/>
        <v>103.58911109441711</v>
      </c>
      <c r="AH114" s="885">
        <f>'Recycling - Case 1'!AM204</f>
        <v>49.802281990123582</v>
      </c>
      <c r="AI114" s="886">
        <f>Parameters!S215</f>
        <v>0.71500000000000008</v>
      </c>
      <c r="AJ114" s="887">
        <f t="shared" si="75"/>
        <v>0.4</v>
      </c>
      <c r="AK114" s="888">
        <f t="shared" si="76"/>
        <v>7.1217263245876739</v>
      </c>
      <c r="AL114" s="888">
        <f t="shared" si="77"/>
        <v>7.1217263245876739</v>
      </c>
      <c r="AM114" s="311">
        <f t="shared" si="78"/>
        <v>0</v>
      </c>
      <c r="AN114" s="888">
        <f t="shared" si="79"/>
        <v>3037.7506308059033</v>
      </c>
      <c r="AO114" s="888">
        <f t="shared" si="80"/>
        <v>155.38366664162567</v>
      </c>
      <c r="AP114" s="889">
        <f t="shared" si="81"/>
        <v>103.58911109441711</v>
      </c>
      <c r="AR114" s="901">
        <f>'Recycling - Case 1'!G124</f>
        <v>790.79333787138808</v>
      </c>
      <c r="AS114" s="920">
        <v>1</v>
      </c>
      <c r="AT114" s="902">
        <f t="shared" si="82"/>
        <v>0.05</v>
      </c>
      <c r="AU114" s="903">
        <f t="shared" si="83"/>
        <v>19.769833446784702</v>
      </c>
      <c r="AV114" s="903">
        <f t="shared" si="84"/>
        <v>19.769833446784702</v>
      </c>
      <c r="AW114" s="279">
        <f t="shared" si="85"/>
        <v>0</v>
      </c>
      <c r="AX114" s="903">
        <f t="shared" si="51"/>
        <v>266.50752675488411</v>
      </c>
      <c r="AY114" s="903">
        <f t="shared" si="54"/>
        <v>15.257406856740952</v>
      </c>
      <c r="AZ114" s="921">
        <f t="shared" si="52"/>
        <v>10.171604571160634</v>
      </c>
      <c r="BB114" s="913">
        <f t="shared" si="86"/>
        <v>238.13530907593724</v>
      </c>
      <c r="BC114" s="914">
        <f t="shared" si="87"/>
        <v>103.58911109441711</v>
      </c>
      <c r="BD114" s="933">
        <f t="shared" si="101"/>
        <v>10.171604571160634</v>
      </c>
      <c r="BE114" s="914">
        <f t="shared" si="60"/>
        <v>351.89602474151496</v>
      </c>
      <c r="BF114" s="145">
        <v>0</v>
      </c>
      <c r="BG114" s="927">
        <f t="shared" si="88"/>
        <v>351.89602474151496</v>
      </c>
      <c r="BI114" s="913">
        <f t="shared" si="89"/>
        <v>238.13530907593724</v>
      </c>
      <c r="BJ114" s="914">
        <f t="shared" si="90"/>
        <v>103.58911109441711</v>
      </c>
      <c r="BK114" s="933">
        <f t="shared" si="91"/>
        <v>10.171604571160634</v>
      </c>
      <c r="BL114" s="914">
        <f t="shared" si="61"/>
        <v>351.89602474151496</v>
      </c>
      <c r="BM114" s="145">
        <v>0</v>
      </c>
      <c r="BN114" s="927">
        <f t="shared" si="92"/>
        <v>351.89602474151496</v>
      </c>
    </row>
    <row r="115" spans="1:66">
      <c r="A115" s="805">
        <f>'Input data'!A145</f>
        <v>2045</v>
      </c>
      <c r="B115" s="728">
        <f>'Input data'!B145</f>
        <v>73.619545999999971</v>
      </c>
      <c r="C115" s="728">
        <f>'Recycling - Case 1'!AK125/B115</f>
        <v>250.06203973382028</v>
      </c>
      <c r="D115" s="729">
        <f>'Recycling - Case 1'!AM125</f>
        <v>0.13922885836483925</v>
      </c>
      <c r="E115" s="729">
        <f>'Recycling - Case 1'!BE125</f>
        <v>0.18694699438263682</v>
      </c>
      <c r="F115" s="729">
        <f>'Recycling - Case 1'!BF125</f>
        <v>0.23709936488407021</v>
      </c>
      <c r="G115" s="729">
        <f>'Recycling - Case 1'!BG125</f>
        <v>7.4585872898891889E-2</v>
      </c>
      <c r="H115" s="729">
        <f>'Recycling - Case 1'!BH125</f>
        <v>0</v>
      </c>
      <c r="I115" s="729">
        <f>'Recycling - Case 1'!BI125</f>
        <v>0</v>
      </c>
      <c r="J115" s="729">
        <f>'Recycling - Case 1'!BJ125</f>
        <v>0</v>
      </c>
      <c r="K115" s="729">
        <f>'Recycling - Case 1'!BK125</f>
        <v>0.50136776783440118</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0.10529627129376633</v>
      </c>
      <c r="Q115" s="734">
        <f t="shared" si="62"/>
        <v>130.38951502188556</v>
      </c>
      <c r="R115" s="734">
        <f t="shared" si="63"/>
        <v>130.38951502188556</v>
      </c>
      <c r="S115" s="737">
        <f t="shared" si="64"/>
        <v>0</v>
      </c>
      <c r="T115" s="734">
        <f t="shared" si="65"/>
        <v>6888.6011384013173</v>
      </c>
      <c r="U115" s="734">
        <f t="shared" si="66"/>
        <v>346.50091947185263</v>
      </c>
      <c r="V115" s="741">
        <f t="shared" si="67"/>
        <v>231.00061298123509</v>
      </c>
      <c r="W115" s="383"/>
      <c r="X115" s="885">
        <f>'Recycling - Case 1'!AM165</f>
        <v>110.19339370673555</v>
      </c>
      <c r="Y115" s="886">
        <f>Parameters!S216</f>
        <v>0.71500000000000008</v>
      </c>
      <c r="Z115" s="887">
        <f t="shared" si="68"/>
        <v>0.4</v>
      </c>
      <c r="AA115" s="888">
        <f t="shared" si="69"/>
        <v>15.757655300063186</v>
      </c>
      <c r="AB115" s="888">
        <f t="shared" si="70"/>
        <v>15.757655300063186</v>
      </c>
      <c r="AC115" s="311">
        <f t="shared" si="71"/>
        <v>0</v>
      </c>
      <c r="AD115" s="888">
        <f t="shared" si="72"/>
        <v>2905.3554396182435</v>
      </c>
      <c r="AE115" s="888">
        <f t="shared" si="73"/>
        <v>148.15284648772294</v>
      </c>
      <c r="AF115" s="889">
        <f t="shared" si="74"/>
        <v>98.768564325148631</v>
      </c>
      <c r="AH115" s="885">
        <f>'Recycling - Case 1'!AM205</f>
        <v>110.19339370673555</v>
      </c>
      <c r="AI115" s="886">
        <f>Parameters!S216</f>
        <v>0.71500000000000008</v>
      </c>
      <c r="AJ115" s="887">
        <f t="shared" si="75"/>
        <v>0.4</v>
      </c>
      <c r="AK115" s="888">
        <f t="shared" si="76"/>
        <v>15.757655300063186</v>
      </c>
      <c r="AL115" s="888">
        <f t="shared" si="77"/>
        <v>15.757655300063186</v>
      </c>
      <c r="AM115" s="311">
        <f t="shared" si="78"/>
        <v>0</v>
      </c>
      <c r="AN115" s="888">
        <f t="shared" si="79"/>
        <v>2905.3554396182435</v>
      </c>
      <c r="AO115" s="888">
        <f t="shared" si="80"/>
        <v>148.15284648772294</v>
      </c>
      <c r="AP115" s="889">
        <f t="shared" si="81"/>
        <v>98.768564325148631</v>
      </c>
      <c r="AR115" s="901">
        <f>'Recycling - Case 1'!G125</f>
        <v>801.00693591981212</v>
      </c>
      <c r="AS115" s="920">
        <v>1</v>
      </c>
      <c r="AT115" s="902">
        <f t="shared" si="82"/>
        <v>0.05</v>
      </c>
      <c r="AU115" s="903">
        <f t="shared" si="83"/>
        <v>20.025173397995303</v>
      </c>
      <c r="AV115" s="903">
        <f t="shared" si="84"/>
        <v>20.025173397995303</v>
      </c>
      <c r="AW115" s="279">
        <f t="shared" si="85"/>
        <v>0</v>
      </c>
      <c r="AX115" s="903">
        <f t="shared" si="51"/>
        <v>271.0125100290004</v>
      </c>
      <c r="AY115" s="903">
        <f t="shared" si="54"/>
        <v>15.52019012387899</v>
      </c>
      <c r="AZ115" s="921">
        <f t="shared" si="52"/>
        <v>10.346793415919327</v>
      </c>
      <c r="BB115" s="913">
        <f t="shared" si="86"/>
        <v>231.00061298123509</v>
      </c>
      <c r="BC115" s="914">
        <f t="shared" si="87"/>
        <v>98.768564325148631</v>
      </c>
      <c r="BD115" s="933">
        <f t="shared" si="101"/>
        <v>10.346793415919327</v>
      </c>
      <c r="BE115" s="914">
        <f t="shared" si="60"/>
        <v>340.11597072230302</v>
      </c>
      <c r="BF115" s="145">
        <v>0</v>
      </c>
      <c r="BG115" s="927">
        <f t="shared" si="88"/>
        <v>340.11597072230302</v>
      </c>
      <c r="BI115" s="913">
        <f t="shared" si="89"/>
        <v>231.00061298123509</v>
      </c>
      <c r="BJ115" s="914">
        <f t="shared" si="90"/>
        <v>98.768564325148631</v>
      </c>
      <c r="BK115" s="933">
        <f t="shared" si="91"/>
        <v>10.346793415919327</v>
      </c>
      <c r="BL115" s="914">
        <f t="shared" si="61"/>
        <v>340.11597072230302</v>
      </c>
      <c r="BM115" s="145">
        <v>0</v>
      </c>
      <c r="BN115" s="927">
        <f t="shared" si="92"/>
        <v>340.11597072230302</v>
      </c>
    </row>
    <row r="116" spans="1:66">
      <c r="A116" s="805">
        <f>'Input data'!A146</f>
        <v>2046</v>
      </c>
      <c r="B116" s="728">
        <f>'Input data'!B146</f>
        <v>73.995362001779526</v>
      </c>
      <c r="C116" s="728">
        <f>'Recycling - Case 1'!AK126/B116</f>
        <v>246.36276968453541</v>
      </c>
      <c r="D116" s="729">
        <f>'Recycling - Case 1'!AM126</f>
        <v>0.13143202920706248</v>
      </c>
      <c r="E116" s="729">
        <f>'Recycling - Case 1'!BE126</f>
        <v>0.18728726320529812</v>
      </c>
      <c r="F116" s="729">
        <f>'Recycling - Case 1'!BF126</f>
        <v>0.23753091780638</v>
      </c>
      <c r="G116" s="729">
        <f>'Recycling - Case 1'!BG126</f>
        <v>7.4485922148519484E-2</v>
      </c>
      <c r="H116" s="729">
        <f>'Recycling - Case 1'!BH126</f>
        <v>0</v>
      </c>
      <c r="I116" s="729">
        <f>'Recycling - Case 1'!BI126</f>
        <v>0</v>
      </c>
      <c r="J116" s="729">
        <f>'Recycling - Case 1'!BJ126</f>
        <v>0</v>
      </c>
      <c r="K116" s="729">
        <f>'Recycling - Case 1'!BK126</f>
        <v>0.50069589683980242</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0.10539364190147853</v>
      </c>
      <c r="Q116" s="734">
        <f t="shared" si="62"/>
        <v>122.85081635110301</v>
      </c>
      <c r="R116" s="734">
        <f t="shared" si="63"/>
        <v>122.85081635110301</v>
      </c>
      <c r="S116" s="737">
        <f t="shared" si="64"/>
        <v>0</v>
      </c>
      <c r="T116" s="734">
        <f>R116+(T115*$C$8)</f>
        <v>6675.490912847552</v>
      </c>
      <c r="U116" s="734">
        <f t="shared" si="66"/>
        <v>335.96104190486881</v>
      </c>
      <c r="V116" s="741">
        <f t="shared" si="67"/>
        <v>223.9740279365792</v>
      </c>
      <c r="W116" s="383"/>
      <c r="X116" s="885">
        <f>'Recycling - Case 1'!AM166</f>
        <v>237.98063445951723</v>
      </c>
      <c r="Y116" s="886">
        <f>Parameters!S217</f>
        <v>0.71500000000000008</v>
      </c>
      <c r="Z116" s="887">
        <f t="shared" si="68"/>
        <v>0.4</v>
      </c>
      <c r="AA116" s="888">
        <f t="shared" si="69"/>
        <v>34.03123072771097</v>
      </c>
      <c r="AB116" s="888">
        <f t="shared" si="70"/>
        <v>34.03123072771097</v>
      </c>
      <c r="AC116" s="311">
        <f t="shared" si="71"/>
        <v>0</v>
      </c>
      <c r="AD116" s="888">
        <f t="shared" si="72"/>
        <v>2797.6908135257918</v>
      </c>
      <c r="AE116" s="888">
        <f t="shared" si="73"/>
        <v>141.69585682016276</v>
      </c>
      <c r="AF116" s="889">
        <f t="shared" si="74"/>
        <v>94.463904546775169</v>
      </c>
      <c r="AH116" s="885">
        <f>'Recycling - Case 1'!AM206</f>
        <v>237.98063445951723</v>
      </c>
      <c r="AI116" s="886">
        <f>Parameters!S217</f>
        <v>0.71500000000000008</v>
      </c>
      <c r="AJ116" s="887">
        <f t="shared" si="75"/>
        <v>0.4</v>
      </c>
      <c r="AK116" s="888">
        <f t="shared" si="76"/>
        <v>34.03123072771097</v>
      </c>
      <c r="AL116" s="888">
        <f t="shared" si="77"/>
        <v>34.03123072771097</v>
      </c>
      <c r="AM116" s="311">
        <f t="shared" si="78"/>
        <v>0</v>
      </c>
      <c r="AN116" s="888">
        <f t="shared" si="79"/>
        <v>2797.6908135257918</v>
      </c>
      <c r="AO116" s="888">
        <f t="shared" si="80"/>
        <v>141.69585682016276</v>
      </c>
      <c r="AP116" s="889">
        <f t="shared" si="81"/>
        <v>94.463904546775169</v>
      </c>
      <c r="AR116" s="901">
        <f>'Recycling - Case 1'!G126</f>
        <v>810.42505056127879</v>
      </c>
      <c r="AS116" s="920">
        <v>1</v>
      </c>
      <c r="AT116" s="902">
        <f t="shared" si="82"/>
        <v>0.05</v>
      </c>
      <c r="AU116" s="903">
        <f t="shared" si="83"/>
        <v>20.26062626403197</v>
      </c>
      <c r="AV116" s="903">
        <f t="shared" si="84"/>
        <v>20.26062626403197</v>
      </c>
      <c r="AW116" s="279">
        <f t="shared" si="85"/>
        <v>0</v>
      </c>
      <c r="AX116" s="903">
        <f t="shared" si="51"/>
        <v>275.49059636699008</v>
      </c>
      <c r="AY116" s="903">
        <f t="shared" si="54"/>
        <v>15.782539926042309</v>
      </c>
      <c r="AZ116" s="921">
        <f t="shared" si="52"/>
        <v>10.521693284028206</v>
      </c>
      <c r="BB116" s="913">
        <f t="shared" si="86"/>
        <v>223.9740279365792</v>
      </c>
      <c r="BC116" s="914">
        <f t="shared" si="87"/>
        <v>94.463904546775169</v>
      </c>
      <c r="BD116" s="933">
        <f t="shared" si="101"/>
        <v>10.521693284028206</v>
      </c>
      <c r="BE116" s="914">
        <f t="shared" si="60"/>
        <v>328.95962576738259</v>
      </c>
      <c r="BF116" s="145">
        <v>0</v>
      </c>
      <c r="BG116" s="927">
        <f t="shared" si="88"/>
        <v>328.95962576738259</v>
      </c>
      <c r="BI116" s="913">
        <f t="shared" si="89"/>
        <v>223.9740279365792</v>
      </c>
      <c r="BJ116" s="914">
        <f t="shared" si="90"/>
        <v>94.463904546775169</v>
      </c>
      <c r="BK116" s="933">
        <f t="shared" si="91"/>
        <v>10.521693284028206</v>
      </c>
      <c r="BL116" s="914">
        <f t="shared" si="61"/>
        <v>328.95962576738259</v>
      </c>
      <c r="BM116" s="145">
        <v>0</v>
      </c>
      <c r="BN116" s="927">
        <f t="shared" si="92"/>
        <v>328.95962576738259</v>
      </c>
    </row>
    <row r="117" spans="1:66">
      <c r="A117" s="805">
        <f>'Input data'!A147</f>
        <v>2047</v>
      </c>
      <c r="B117" s="728">
        <f>'Input data'!B147</f>
        <v>74.373096484110363</v>
      </c>
      <c r="C117" s="728">
        <f>'Recycling - Case 1'!AK127/B117</f>
        <v>242.69971882361628</v>
      </c>
      <c r="D117" s="729">
        <f>'Recycling - Case 1'!AM127</f>
        <v>0.12347731843120803</v>
      </c>
      <c r="E117" s="729">
        <f>'Recycling - Case 1'!BE127</f>
        <v>0.18762490000098597</v>
      </c>
      <c r="F117" s="729">
        <f>'Recycling - Case 1'!BF127</f>
        <v>0.23795913260642762</v>
      </c>
      <c r="G117" s="729">
        <f>'Recycling - Case 1'!BG127</f>
        <v>7.4386744531192123E-2</v>
      </c>
      <c r="H117" s="729">
        <f>'Recycling - Case 1'!BH127</f>
        <v>0</v>
      </c>
      <c r="I117" s="729">
        <f>'Recycling - Case 1'!BI127</f>
        <v>0</v>
      </c>
      <c r="J117" s="729">
        <f>'Recycling - Case 1'!BJ127</f>
        <v>0</v>
      </c>
      <c r="K117" s="729">
        <f>'Recycling - Case 1'!BK127</f>
        <v>0.5000292228613944</v>
      </c>
      <c r="L117" s="730">
        <f t="shared" si="100"/>
        <v>1</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0.10549025933391026</v>
      </c>
      <c r="Q117" s="734">
        <f t="shared" si="62"/>
        <v>115.1781138943394</v>
      </c>
      <c r="R117" s="734">
        <f t="shared" si="63"/>
        <v>115.1781138943394</v>
      </c>
      <c r="S117" s="737">
        <f t="shared" si="64"/>
        <v>0</v>
      </c>
      <c r="T117" s="734">
        <f t="shared" ref="T117:T120" si="102">R117+(T116*$C$8)</f>
        <v>6465.1014931820628</v>
      </c>
      <c r="U117" s="734">
        <f t="shared" si="66"/>
        <v>325.56753355982903</v>
      </c>
      <c r="V117" s="741">
        <f t="shared" si="67"/>
        <v>217.04502237321935</v>
      </c>
      <c r="W117" s="383"/>
      <c r="X117" s="885">
        <f>'Recycling - Case 1'!AM167</f>
        <v>368.66171702026412</v>
      </c>
      <c r="Y117" s="886">
        <f>Parameters!S218</f>
        <v>0.71500000000000008</v>
      </c>
      <c r="Z117" s="887">
        <f t="shared" si="68"/>
        <v>0.4</v>
      </c>
      <c r="AA117" s="888">
        <f t="shared" si="69"/>
        <v>52.718625533897779</v>
      </c>
      <c r="AB117" s="888">
        <f t="shared" si="70"/>
        <v>52.718625533897779</v>
      </c>
      <c r="AC117" s="311">
        <f t="shared" si="71"/>
        <v>0</v>
      </c>
      <c r="AD117" s="888">
        <f t="shared" si="72"/>
        <v>2713.9644480149714</v>
      </c>
      <c r="AE117" s="888">
        <f t="shared" si="73"/>
        <v>136.44499104471845</v>
      </c>
      <c r="AF117" s="889">
        <f t="shared" si="74"/>
        <v>90.963327363145638</v>
      </c>
      <c r="AH117" s="885">
        <f>'Recycling - Case 1'!AM207</f>
        <v>368.66171702026412</v>
      </c>
      <c r="AI117" s="886">
        <f>Parameters!S218</f>
        <v>0.71500000000000008</v>
      </c>
      <c r="AJ117" s="887">
        <f t="shared" si="75"/>
        <v>0.4</v>
      </c>
      <c r="AK117" s="888">
        <f t="shared" si="76"/>
        <v>52.718625533897779</v>
      </c>
      <c r="AL117" s="888">
        <f t="shared" si="77"/>
        <v>52.718625533897779</v>
      </c>
      <c r="AM117" s="311">
        <f t="shared" si="78"/>
        <v>0</v>
      </c>
      <c r="AN117" s="888">
        <f t="shared" si="79"/>
        <v>2713.9644480149714</v>
      </c>
      <c r="AO117" s="888">
        <f t="shared" si="80"/>
        <v>136.44499104471845</v>
      </c>
      <c r="AP117" s="889">
        <f t="shared" si="81"/>
        <v>90.963327363145638</v>
      </c>
      <c r="AR117" s="901">
        <f>'Recycling - Case 1'!G127</f>
        <v>819.91844738595455</v>
      </c>
      <c r="AS117" s="920">
        <v>1</v>
      </c>
      <c r="AT117" s="902">
        <f t="shared" si="82"/>
        <v>0.05</v>
      </c>
      <c r="AU117" s="903">
        <f t="shared" si="83"/>
        <v>20.497961184648865</v>
      </c>
      <c r="AV117" s="903">
        <f t="shared" si="84"/>
        <v>20.497961184648865</v>
      </c>
      <c r="AW117" s="279">
        <f t="shared" si="85"/>
        <v>0</v>
      </c>
      <c r="AX117" s="903">
        <f t="shared" si="51"/>
        <v>279.94523417905384</v>
      </c>
      <c r="AY117" s="903">
        <f t="shared" si="54"/>
        <v>16.043323372585142</v>
      </c>
      <c r="AZ117" s="921">
        <f t="shared" si="52"/>
        <v>10.695548915056762</v>
      </c>
      <c r="BB117" s="913">
        <f t="shared" si="86"/>
        <v>217.04502237321935</v>
      </c>
      <c r="BC117" s="914">
        <f t="shared" si="87"/>
        <v>90.963327363145638</v>
      </c>
      <c r="BD117" s="933">
        <f t="shared" si="101"/>
        <v>10.695548915056762</v>
      </c>
      <c r="BE117" s="914">
        <f t="shared" si="60"/>
        <v>318.70389865142175</v>
      </c>
      <c r="BF117" s="145">
        <v>0</v>
      </c>
      <c r="BG117" s="927">
        <f t="shared" si="88"/>
        <v>318.70389865142175</v>
      </c>
      <c r="BI117" s="913">
        <f t="shared" si="89"/>
        <v>217.04502237321935</v>
      </c>
      <c r="BJ117" s="914">
        <f t="shared" si="90"/>
        <v>90.963327363145638</v>
      </c>
      <c r="BK117" s="933">
        <f t="shared" si="91"/>
        <v>10.695548915056762</v>
      </c>
      <c r="BL117" s="914">
        <f t="shared" si="61"/>
        <v>318.70389865142175</v>
      </c>
      <c r="BM117" s="145">
        <v>0</v>
      </c>
      <c r="BN117" s="927">
        <f t="shared" si="92"/>
        <v>318.70389865142175</v>
      </c>
    </row>
    <row r="118" spans="1:66">
      <c r="A118" s="805">
        <f>'Input data'!A148</f>
        <v>2048</v>
      </c>
      <c r="B118" s="728">
        <f>'Input data'!B148</f>
        <v>74.752759240528661</v>
      </c>
      <c r="C118" s="728">
        <f>'Recycling - Case 1'!AK128/B118</f>
        <v>242.04472938065743</v>
      </c>
      <c r="D118" s="729">
        <f>'Recycling - Case 1'!AM128</f>
        <v>0.12318262881540074</v>
      </c>
      <c r="E118" s="729">
        <f>'Recycling - Case 1'!BE128</f>
        <v>0.18795993086424437</v>
      </c>
      <c r="F118" s="729">
        <f>'Recycling - Case 1'!BF128</f>
        <v>0.23838404237915467</v>
      </c>
      <c r="G118" s="729">
        <f>'Recycling - Case 1'!BG128</f>
        <v>7.4288332381884134E-2</v>
      </c>
      <c r="H118" s="729">
        <f>'Recycling - Case 1'!BH128</f>
        <v>0</v>
      </c>
      <c r="I118" s="729">
        <f>'Recycling - Case 1'!BI128</f>
        <v>0</v>
      </c>
      <c r="J118" s="729">
        <f>'Recycling - Case 1'!BJ128</f>
        <v>0</v>
      </c>
      <c r="K118" s="729">
        <f>'Recycling - Case 1'!BK128</f>
        <v>0.49936769437471668</v>
      </c>
      <c r="L118" s="730">
        <f t="shared" si="100"/>
        <v>0.99999999999999978</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0.10558613105822125</v>
      </c>
      <c r="Q118" s="734">
        <f t="shared" si="62"/>
        <v>116.0770323795544</v>
      </c>
      <c r="R118" s="734">
        <f t="shared" si="63"/>
        <v>116.0770323795544</v>
      </c>
      <c r="S118" s="737">
        <f t="shared" si="64"/>
        <v>0</v>
      </c>
      <c r="T118" s="734">
        <f t="shared" si="102"/>
        <v>6265.8718050778343</v>
      </c>
      <c r="U118" s="734">
        <f t="shared" si="66"/>
        <v>315.30672048378233</v>
      </c>
      <c r="V118" s="741">
        <f t="shared" si="67"/>
        <v>210.20448032252156</v>
      </c>
      <c r="W118" s="383"/>
      <c r="X118" s="885">
        <f>'Recycling - Case 1'!AM168</f>
        <v>502.33205136626117</v>
      </c>
      <c r="Y118" s="886">
        <f>Parameters!S219</f>
        <v>0.71500000000000008</v>
      </c>
      <c r="Z118" s="887">
        <f t="shared" si="68"/>
        <v>0.4</v>
      </c>
      <c r="AA118" s="888">
        <f t="shared" si="69"/>
        <v>71.833483345375356</v>
      </c>
      <c r="AB118" s="888">
        <f t="shared" si="70"/>
        <v>71.833483345375356</v>
      </c>
      <c r="AC118" s="311">
        <f t="shared" si="71"/>
        <v>0</v>
      </c>
      <c r="AD118" s="888">
        <f t="shared" si="72"/>
        <v>2653.4363233460549</v>
      </c>
      <c r="AE118" s="888">
        <f t="shared" si="73"/>
        <v>132.36160801429216</v>
      </c>
      <c r="AF118" s="889">
        <f t="shared" si="74"/>
        <v>88.241072009528111</v>
      </c>
      <c r="AH118" s="885">
        <f>'Recycling - Case 1'!AM208</f>
        <v>502.33205136626117</v>
      </c>
      <c r="AI118" s="886">
        <f>Parameters!S219</f>
        <v>0.71500000000000008</v>
      </c>
      <c r="AJ118" s="887">
        <f t="shared" si="75"/>
        <v>0.4</v>
      </c>
      <c r="AK118" s="888">
        <f t="shared" si="76"/>
        <v>71.833483345375356</v>
      </c>
      <c r="AL118" s="888">
        <f t="shared" si="77"/>
        <v>71.833483345375356</v>
      </c>
      <c r="AM118" s="311">
        <f t="shared" si="78"/>
        <v>0</v>
      </c>
      <c r="AN118" s="888">
        <f t="shared" si="79"/>
        <v>2653.4363233460549</v>
      </c>
      <c r="AO118" s="888">
        <f t="shared" si="80"/>
        <v>132.36160801429216</v>
      </c>
      <c r="AP118" s="889">
        <f t="shared" si="81"/>
        <v>88.241072009528111</v>
      </c>
      <c r="AR118" s="901">
        <f>'Recycling - Case 1'!G128</f>
        <v>829.4876495705023</v>
      </c>
      <c r="AS118" s="920">
        <v>1</v>
      </c>
      <c r="AT118" s="902">
        <f t="shared" si="82"/>
        <v>0.05</v>
      </c>
      <c r="AU118" s="903">
        <f t="shared" si="83"/>
        <v>20.737191239262557</v>
      </c>
      <c r="AV118" s="903">
        <f t="shared" si="84"/>
        <v>20.737191239262557</v>
      </c>
      <c r="AW118" s="279">
        <f t="shared" si="85"/>
        <v>0</v>
      </c>
      <c r="AX118" s="903">
        <f t="shared" si="51"/>
        <v>284.37968413503245</v>
      </c>
      <c r="AY118" s="903">
        <f t="shared" si="54"/>
        <v>16.302741283283918</v>
      </c>
      <c r="AZ118" s="921">
        <f t="shared" si="52"/>
        <v>10.868494188855946</v>
      </c>
      <c r="BB118" s="913">
        <f t="shared" si="86"/>
        <v>210.20448032252156</v>
      </c>
      <c r="BC118" s="914">
        <f t="shared" si="87"/>
        <v>88.241072009528111</v>
      </c>
      <c r="BD118" s="933">
        <f t="shared" si="101"/>
        <v>10.868494188855946</v>
      </c>
      <c r="BE118" s="914">
        <f t="shared" si="60"/>
        <v>309.31404652090561</v>
      </c>
      <c r="BF118" s="145">
        <v>0</v>
      </c>
      <c r="BG118" s="927">
        <f t="shared" si="88"/>
        <v>309.31404652090561</v>
      </c>
      <c r="BI118" s="913">
        <f t="shared" si="89"/>
        <v>210.20448032252156</v>
      </c>
      <c r="BJ118" s="914">
        <f t="shared" si="90"/>
        <v>88.241072009528111</v>
      </c>
      <c r="BK118" s="933">
        <f t="shared" si="91"/>
        <v>10.868494188855946</v>
      </c>
      <c r="BL118" s="914">
        <f t="shared" si="61"/>
        <v>309.31404652090561</v>
      </c>
      <c r="BM118" s="145">
        <v>0</v>
      </c>
      <c r="BN118" s="927">
        <f t="shared" si="92"/>
        <v>309.31404652090561</v>
      </c>
    </row>
    <row r="119" spans="1:66">
      <c r="A119" s="805">
        <f>'Input data'!A149</f>
        <v>2049</v>
      </c>
      <c r="B119" s="728">
        <f>'Input data'!B149</f>
        <v>75.134360114565098</v>
      </c>
      <c r="C119" s="728">
        <f>'Recycling - Case 1'!AK129/B119</f>
        <v>241.39323220033924</v>
      </c>
      <c r="D119" s="729">
        <f>'Recycling - Case 1'!AM129</f>
        <v>0.12288776454186226</v>
      </c>
      <c r="E119" s="729">
        <f>'Recycling - Case 1'!BE129</f>
        <v>0.1882923815554092</v>
      </c>
      <c r="F119" s="729">
        <f>'Recycling - Case 1'!BF129</f>
        <v>0.23880567979563602</v>
      </c>
      <c r="G119" s="729">
        <f>'Recycling - Case 1'!BG129</f>
        <v>7.419067813374039E-2</v>
      </c>
      <c r="H119" s="729">
        <f>'Recycling - Case 1'!BH129</f>
        <v>0</v>
      </c>
      <c r="I119" s="729">
        <f>'Recycling - Case 1'!BI129</f>
        <v>0</v>
      </c>
      <c r="J119" s="729">
        <f>'Recycling - Case 1'!BJ129</f>
        <v>0</v>
      </c>
      <c r="K119" s="729">
        <f>'Recycling - Case 1'!BK129</f>
        <v>0.49871126051521419</v>
      </c>
      <c r="L119" s="730">
        <f t="shared" si="100"/>
        <v>0.99999999999999978</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0.10568126444593474</v>
      </c>
      <c r="Q119" s="734">
        <f t="shared" si="62"/>
        <v>116.9765759507158</v>
      </c>
      <c r="R119" s="734">
        <f t="shared" si="63"/>
        <v>116.9765759507158</v>
      </c>
      <c r="S119" s="737">
        <f t="shared" si="64"/>
        <v>0</v>
      </c>
      <c r="T119" s="734">
        <f t="shared" si="102"/>
        <v>6077.2582070901535</v>
      </c>
      <c r="U119" s="734">
        <f t="shared" si="66"/>
        <v>305.59017393839588</v>
      </c>
      <c r="V119" s="741">
        <f t="shared" si="67"/>
        <v>203.72678262559725</v>
      </c>
      <c r="W119" s="383"/>
      <c r="X119" s="885">
        <f>'Recycling - Case 1'!AM169</f>
        <v>638.97807893616039</v>
      </c>
      <c r="Y119" s="886">
        <f>Parameters!S220</f>
        <v>0.71500000000000008</v>
      </c>
      <c r="Z119" s="887">
        <f t="shared" si="68"/>
        <v>0.4</v>
      </c>
      <c r="AA119" s="888">
        <f t="shared" si="69"/>
        <v>91.373865287870942</v>
      </c>
      <c r="AB119" s="888">
        <f t="shared" si="70"/>
        <v>91.373865287870942</v>
      </c>
      <c r="AC119" s="311">
        <f t="shared" si="71"/>
        <v>0</v>
      </c>
      <c r="AD119" s="888">
        <f t="shared" si="72"/>
        <v>2615.4005720936293</v>
      </c>
      <c r="AE119" s="888">
        <f t="shared" si="73"/>
        <v>129.40961654029658</v>
      </c>
      <c r="AF119" s="889">
        <f t="shared" si="74"/>
        <v>86.27307769353105</v>
      </c>
      <c r="AH119" s="885">
        <f>'Recycling - Case 1'!AM209</f>
        <v>638.97807893616039</v>
      </c>
      <c r="AI119" s="886">
        <f>Parameters!S220</f>
        <v>0.71500000000000008</v>
      </c>
      <c r="AJ119" s="887">
        <f t="shared" si="75"/>
        <v>0.4</v>
      </c>
      <c r="AK119" s="888">
        <f t="shared" si="76"/>
        <v>91.373865287870942</v>
      </c>
      <c r="AL119" s="888">
        <f t="shared" si="77"/>
        <v>91.373865287870942</v>
      </c>
      <c r="AM119" s="311">
        <f t="shared" si="78"/>
        <v>0</v>
      </c>
      <c r="AN119" s="888">
        <f t="shared" si="79"/>
        <v>2615.4005720936293</v>
      </c>
      <c r="AO119" s="888">
        <f t="shared" si="80"/>
        <v>129.40961654029658</v>
      </c>
      <c r="AP119" s="889">
        <f t="shared" si="81"/>
        <v>86.27307769353105</v>
      </c>
      <c r="AR119" s="901">
        <f>'Recycling - Case 1'!G129</f>
        <v>839.13318367124407</v>
      </c>
      <c r="AS119" s="920">
        <v>1</v>
      </c>
      <c r="AT119" s="902">
        <f t="shared" si="82"/>
        <v>0.05</v>
      </c>
      <c r="AU119" s="903">
        <f t="shared" si="83"/>
        <v>20.978329591781105</v>
      </c>
      <c r="AV119" s="903">
        <f t="shared" si="84"/>
        <v>20.978329591781105</v>
      </c>
      <c r="AW119" s="279">
        <f t="shared" si="85"/>
        <v>0</v>
      </c>
      <c r="AX119" s="903">
        <f t="shared" si="51"/>
        <v>288.79703018204594</v>
      </c>
      <c r="AY119" s="903">
        <f t="shared" si="54"/>
        <v>16.560983544767641</v>
      </c>
      <c r="AZ119" s="921">
        <f t="shared" si="52"/>
        <v>11.040655696511761</v>
      </c>
      <c r="BB119" s="913">
        <f t="shared" si="86"/>
        <v>203.72678262559725</v>
      </c>
      <c r="BC119" s="914">
        <f t="shared" si="87"/>
        <v>86.27307769353105</v>
      </c>
      <c r="BD119" s="933">
        <f t="shared" si="101"/>
        <v>11.040655696511761</v>
      </c>
      <c r="BE119" s="914">
        <f t="shared" si="60"/>
        <v>301.04051601564004</v>
      </c>
      <c r="BF119" s="145">
        <v>0</v>
      </c>
      <c r="BG119" s="927">
        <f t="shared" si="88"/>
        <v>301.04051601564004</v>
      </c>
      <c r="BI119" s="913">
        <f t="shared" si="89"/>
        <v>203.72678262559725</v>
      </c>
      <c r="BJ119" s="914">
        <f t="shared" si="90"/>
        <v>86.27307769353105</v>
      </c>
      <c r="BK119" s="933">
        <f t="shared" si="91"/>
        <v>11.040655696511761</v>
      </c>
      <c r="BL119" s="914">
        <f t="shared" si="61"/>
        <v>301.04051601564004</v>
      </c>
      <c r="BM119" s="145">
        <v>0</v>
      </c>
      <c r="BN119" s="927">
        <f t="shared" si="92"/>
        <v>301.04051601564004</v>
      </c>
    </row>
    <row r="120" spans="1:66" ht="15" thickBot="1">
      <c r="A120" s="806">
        <f>'Input data'!A150</f>
        <v>2050</v>
      </c>
      <c r="B120" s="731">
        <f>'Input data'!B150</f>
        <v>75.517908999999989</v>
      </c>
      <c r="C120" s="731">
        <f>'Recycling - Case 1'!AK130/B120</f>
        <v>240.74520722189973</v>
      </c>
      <c r="D120" s="732">
        <f>'Recycling - Case 1'!AM130</f>
        <v>0.12259273093157032</v>
      </c>
      <c r="E120" s="732">
        <f>'Recycling - Case 1'!BE130</f>
        <v>0.18862227750594662</v>
      </c>
      <c r="F120" s="732">
        <f>'Recycling - Case 1'!BF130</f>
        <v>0.239224077109851</v>
      </c>
      <c r="G120" s="732">
        <f>'Recycling - Case 1'!BG130</f>
        <v>7.4093774316508057E-2</v>
      </c>
      <c r="H120" s="732">
        <f>'Recycling - Case 1'!BH130</f>
        <v>0</v>
      </c>
      <c r="I120" s="732">
        <f>'Recycling - Case 1'!BI130</f>
        <v>0</v>
      </c>
      <c r="J120" s="732">
        <f>'Recycling - Case 1'!BJ130</f>
        <v>0</v>
      </c>
      <c r="K120" s="732">
        <f>'Recycling - Case 1'!BK130</f>
        <v>0.49805987106769423</v>
      </c>
      <c r="L120" s="733">
        <f t="shared" si="100"/>
        <v>0.99999999999999989</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0.10577566677446543</v>
      </c>
      <c r="Q120" s="745">
        <f t="shared" si="62"/>
        <v>117.87673605600368</v>
      </c>
      <c r="R120" s="745">
        <f t="shared" si="63"/>
        <v>117.87673605600368</v>
      </c>
      <c r="S120" s="746">
        <f t="shared" si="64"/>
        <v>0</v>
      </c>
      <c r="T120" s="745">
        <f t="shared" si="102"/>
        <v>5898.7435629286119</v>
      </c>
      <c r="U120" s="745">
        <f t="shared" si="66"/>
        <v>296.3913802175457</v>
      </c>
      <c r="V120" s="747">
        <f t="shared" si="67"/>
        <v>197.59425347836381</v>
      </c>
      <c r="W120" s="383"/>
      <c r="X120" s="890">
        <f>'Recycling - Case 1'!AM170</f>
        <v>778.28210720977654</v>
      </c>
      <c r="Y120" s="891">
        <f>Parameters!S221</f>
        <v>0.71500000000000008</v>
      </c>
      <c r="Z120" s="892">
        <f t="shared" si="68"/>
        <v>0.4</v>
      </c>
      <c r="AA120" s="893">
        <f t="shared" si="69"/>
        <v>111.29434133099808</v>
      </c>
      <c r="AB120" s="893">
        <f t="shared" si="70"/>
        <v>111.29434133099808</v>
      </c>
      <c r="AC120" s="894">
        <f t="shared" si="71"/>
        <v>0</v>
      </c>
      <c r="AD120" s="893">
        <f t="shared" si="72"/>
        <v>2599.1403223624593</v>
      </c>
      <c r="AE120" s="893">
        <f t="shared" si="73"/>
        <v>127.5545910621681</v>
      </c>
      <c r="AF120" s="895">
        <f t="shared" si="74"/>
        <v>85.036394041445405</v>
      </c>
      <c r="AH120" s="890">
        <f>'Recycling - Case 1'!AM210</f>
        <v>778.28210720977654</v>
      </c>
      <c r="AI120" s="891">
        <f>Parameters!S221</f>
        <v>0.71500000000000008</v>
      </c>
      <c r="AJ120" s="892">
        <f t="shared" si="75"/>
        <v>0.4</v>
      </c>
      <c r="AK120" s="893">
        <f t="shared" si="76"/>
        <v>111.29434133099808</v>
      </c>
      <c r="AL120" s="893">
        <f t="shared" si="77"/>
        <v>111.29434133099808</v>
      </c>
      <c r="AM120" s="894">
        <f t="shared" si="78"/>
        <v>0</v>
      </c>
      <c r="AN120" s="893">
        <f t="shared" si="79"/>
        <v>2599.1403223624593</v>
      </c>
      <c r="AO120" s="893">
        <f t="shared" si="80"/>
        <v>127.5545910621681</v>
      </c>
      <c r="AP120" s="895">
        <f t="shared" si="81"/>
        <v>85.036394041445405</v>
      </c>
      <c r="AR120" s="905">
        <f>'Recycling - Case 1'!G130</f>
        <v>848.85557964503187</v>
      </c>
      <c r="AS120" s="922">
        <f>Parameters!R221</f>
        <v>1</v>
      </c>
      <c r="AT120" s="906">
        <f t="shared" si="82"/>
        <v>0.05</v>
      </c>
      <c r="AU120" s="907">
        <f t="shared" si="83"/>
        <v>21.221389491125798</v>
      </c>
      <c r="AV120" s="907">
        <f t="shared" si="84"/>
        <v>21.221389491125798</v>
      </c>
      <c r="AW120" s="908">
        <f t="shared" si="85"/>
        <v>0</v>
      </c>
      <c r="AX120" s="907">
        <f t="shared" si="51"/>
        <v>293.2001899210365</v>
      </c>
      <c r="AY120" s="907">
        <f t="shared" si="54"/>
        <v>16.818229752135245</v>
      </c>
      <c r="AZ120" s="923">
        <f t="shared" si="52"/>
        <v>11.212153168090163</v>
      </c>
      <c r="BB120" s="915">
        <f t="shared" si="86"/>
        <v>197.59425347836381</v>
      </c>
      <c r="BC120" s="916">
        <f t="shared" si="87"/>
        <v>85.036394041445405</v>
      </c>
      <c r="BD120" s="934">
        <f t="shared" si="101"/>
        <v>11.212153168090163</v>
      </c>
      <c r="BE120" s="916">
        <f t="shared" si="60"/>
        <v>293.84280068789934</v>
      </c>
      <c r="BF120" s="917">
        <v>0</v>
      </c>
      <c r="BG120" s="928">
        <f t="shared" si="88"/>
        <v>293.84280068789934</v>
      </c>
      <c r="BI120" s="915">
        <f t="shared" si="89"/>
        <v>197.59425347836381</v>
      </c>
      <c r="BJ120" s="916">
        <f t="shared" si="90"/>
        <v>85.036394041445405</v>
      </c>
      <c r="BK120" s="934">
        <f t="shared" si="91"/>
        <v>11.212153168090163</v>
      </c>
      <c r="BL120" s="916">
        <f t="shared" si="61"/>
        <v>293.84280068789934</v>
      </c>
      <c r="BM120" s="917">
        <v>0</v>
      </c>
      <c r="BN120" s="928">
        <f t="shared" si="92"/>
        <v>293.84280068789934</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L16:L17"/>
    <mergeCell ref="A16:A18"/>
    <mergeCell ref="B16:B17"/>
    <mergeCell ref="C16:C17"/>
    <mergeCell ref="D16:D17"/>
    <mergeCell ref="E16:E17"/>
    <mergeCell ref="F16:F17"/>
    <mergeCell ref="G16:G17"/>
    <mergeCell ref="H16:H17"/>
    <mergeCell ref="I16:I17"/>
    <mergeCell ref="J16:J17"/>
    <mergeCell ref="K16:K17"/>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3.55468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6.4414062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 thickBot="1">
      <c r="A13" s="133" t="s">
        <v>722</v>
      </c>
      <c r="B13" s="95">
        <v>2017</v>
      </c>
      <c r="C13" s="95"/>
      <c r="D13" s="383">
        <f>'Waste Summary 2017 SASOW'!$L$25</f>
        <v>2.197312110627072E-2</v>
      </c>
      <c r="E13" s="114"/>
      <c r="N13" s="199" t="s">
        <v>267</v>
      </c>
      <c r="X13" s="2" t="s">
        <v>318</v>
      </c>
      <c r="AH13" s="2" t="s">
        <v>318</v>
      </c>
      <c r="AR13" s="2" t="s">
        <v>320</v>
      </c>
      <c r="BB13" s="1433" t="s">
        <v>319</v>
      </c>
      <c r="BC13" s="1434"/>
      <c r="BD13" s="1434"/>
      <c r="BE13" s="1434"/>
      <c r="BF13" s="1434"/>
      <c r="BG13" s="1435"/>
      <c r="BI13" s="1433" t="s">
        <v>319</v>
      </c>
      <c r="BJ13" s="1434"/>
      <c r="BK13" s="1434"/>
      <c r="BL13" s="1434"/>
      <c r="BM13" s="1434"/>
      <c r="BN13" s="1435"/>
    </row>
    <row r="14" spans="1:66" ht="1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 thickBot="1">
      <c r="N15" s="199"/>
      <c r="X15" s="2"/>
      <c r="AH15" s="2"/>
      <c r="AR15" s="2"/>
      <c r="BB15" s="698"/>
      <c r="BC15" s="146"/>
      <c r="BD15" s="146"/>
      <c r="BE15" s="146"/>
      <c r="BF15" s="146"/>
      <c r="BG15" s="1024"/>
      <c r="BI15" s="698"/>
      <c r="BJ15" s="146"/>
      <c r="BK15" s="146"/>
      <c r="BL15" s="146"/>
      <c r="BM15" s="146"/>
      <c r="BN15" s="1024"/>
    </row>
    <row r="16" spans="1:66" ht="115.2" customHeight="1">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44"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0"/>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51"/>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899.79410413176493</v>
      </c>
      <c r="Y89" s="751">
        <f>Parameters!S224</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2'!AM179</f>
        <v>899.79410413176493</v>
      </c>
      <c r="AI89" s="751">
        <f>Parameters!S224</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59.308690000000006</v>
      </c>
      <c r="C90" s="728">
        <f>'Recycling - Case 2'!AK100/B90</f>
        <v>397.49323210110077</v>
      </c>
      <c r="D90" s="729">
        <f>'Recycling - Case 2'!AM100</f>
        <v>0.38289463315638228</v>
      </c>
      <c r="E90" s="729">
        <f>'Recycling - Case 2'!BE100</f>
        <v>0.22354491991078579</v>
      </c>
      <c r="F90" s="729">
        <f>'Recycling - Case 2'!BF100</f>
        <v>0.28351543553262054</v>
      </c>
      <c r="G90" s="729">
        <f>'Recycling - Case 2'!BG100</f>
        <v>6.1771817655591317E-2</v>
      </c>
      <c r="H90" s="729">
        <f>'Recycling - Case 2'!BH100</f>
        <v>0</v>
      </c>
      <c r="I90" s="729">
        <f>'Recycling - Case 2'!BI100</f>
        <v>0</v>
      </c>
      <c r="J90" s="729">
        <f>'Recycling - Case 2'!BJ100</f>
        <v>0</v>
      </c>
      <c r="K90" s="729">
        <f>'Recycling - Case 2'!BK100</f>
        <v>0.43116782690100253</v>
      </c>
      <c r="L90" s="730">
        <f t="shared" si="89"/>
        <v>1.0000000000000002</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2'!AM140</f>
        <v>696.79350839563915</v>
      </c>
      <c r="Y90" s="751">
        <f>Parameters!S225</f>
        <v>0.71500000000000008</v>
      </c>
      <c r="Z90" s="751">
        <f t="shared" si="63"/>
        <v>0.4</v>
      </c>
      <c r="AA90" s="752">
        <f t="shared" si="64"/>
        <v>99.641471700576417</v>
      </c>
      <c r="AB90" s="752">
        <f t="shared" si="65"/>
        <v>99.641471700576417</v>
      </c>
      <c r="AC90" s="753">
        <f t="shared" si="66"/>
        <v>0</v>
      </c>
      <c r="AD90" s="752">
        <f t="shared" si="67"/>
        <v>9797.1236362936961</v>
      </c>
      <c r="AE90" s="752">
        <f t="shared" si="68"/>
        <v>497.20054266562801</v>
      </c>
      <c r="AF90" s="754">
        <f t="shared" si="69"/>
        <v>331.46702844375199</v>
      </c>
      <c r="AH90" s="750">
        <f>'Recycling - Case 2'!AM180</f>
        <v>696.79350839563915</v>
      </c>
      <c r="AI90" s="751">
        <f>Parameters!S225</f>
        <v>0.71500000000000008</v>
      </c>
      <c r="AJ90" s="751">
        <f t="shared" si="70"/>
        <v>0.4</v>
      </c>
      <c r="AK90" s="752">
        <f t="shared" si="71"/>
        <v>99.641471700576417</v>
      </c>
      <c r="AL90" s="752">
        <f t="shared" si="72"/>
        <v>99.641471700576417</v>
      </c>
      <c r="AM90" s="753">
        <f t="shared" si="73"/>
        <v>0</v>
      </c>
      <c r="AN90" s="752">
        <f t="shared" si="74"/>
        <v>9797.1236362936961</v>
      </c>
      <c r="AO90" s="752">
        <f t="shared" si="75"/>
        <v>497.20054266562801</v>
      </c>
      <c r="AP90" s="754">
        <f t="shared" si="76"/>
        <v>331.46702844375199</v>
      </c>
      <c r="AR90" s="901">
        <f>'Recycling - Case 2'!G100</f>
        <v>558.22933891619243</v>
      </c>
      <c r="AS90" s="902">
        <v>1</v>
      </c>
      <c r="AT90" s="902">
        <f t="shared" si="77"/>
        <v>0.05</v>
      </c>
      <c r="AU90" s="903">
        <f t="shared" si="78"/>
        <v>13.955733472904811</v>
      </c>
      <c r="AV90" s="903">
        <f t="shared" si="79"/>
        <v>13.955733472904811</v>
      </c>
      <c r="AW90" s="279">
        <f t="shared" si="80"/>
        <v>0</v>
      </c>
      <c r="AX90" s="903">
        <f t="shared" si="44"/>
        <v>156.79843349348261</v>
      </c>
      <c r="AY90" s="903">
        <f t="shared" si="49"/>
        <v>8.8328992684872976</v>
      </c>
      <c r="AZ90" s="904">
        <f t="shared" si="47"/>
        <v>5.8885995123248653</v>
      </c>
      <c r="BB90" s="913">
        <f t="shared" si="81"/>
        <v>444.77283615219312</v>
      </c>
      <c r="BC90" s="914">
        <f t="shared" si="82"/>
        <v>331.46702844375199</v>
      </c>
      <c r="BD90" s="933">
        <f t="shared" si="90"/>
        <v>5.8885995123248653</v>
      </c>
      <c r="BE90" s="914">
        <f t="shared" si="54"/>
        <v>782.12846410827001</v>
      </c>
      <c r="BF90" s="145">
        <v>0</v>
      </c>
      <c r="BG90" s="927">
        <f t="shared" si="83"/>
        <v>782.12846410827001</v>
      </c>
      <c r="BI90" s="913">
        <f t="shared" si="84"/>
        <v>444.77283615219312</v>
      </c>
      <c r="BJ90" s="914">
        <f t="shared" si="85"/>
        <v>331.46702844375199</v>
      </c>
      <c r="BK90" s="933">
        <f t="shared" si="86"/>
        <v>5.8885995123248653</v>
      </c>
      <c r="BL90" s="914">
        <f t="shared" si="55"/>
        <v>782.12846410827001</v>
      </c>
      <c r="BM90" s="145">
        <v>0</v>
      </c>
      <c r="BN90" s="927">
        <f t="shared" si="87"/>
        <v>782.12846410827001</v>
      </c>
    </row>
    <row r="91" spans="1:66">
      <c r="A91" s="805">
        <f>'Input data'!A121</f>
        <v>2021</v>
      </c>
      <c r="B91" s="728">
        <f>'Input data'!B121</f>
        <v>59.991580449204264</v>
      </c>
      <c r="C91" s="728">
        <f>'Recycling - Case 2'!AK101/B91</f>
        <v>382.99573336469109</v>
      </c>
      <c r="D91" s="729">
        <f>'Recycling - Case 2'!AM101</f>
        <v>0.31526187030246827</v>
      </c>
      <c r="E91" s="729">
        <f>'Recycling - Case 2'!BE101</f>
        <v>0.19716607376836848</v>
      </c>
      <c r="F91" s="729">
        <f>'Recycling - Case 2'!BF101</f>
        <v>0.2500599221803147</v>
      </c>
      <c r="G91" s="729">
        <f>'Recycling - Case 2'!BG101</f>
        <v>6.8431683110624295E-2</v>
      </c>
      <c r="H91" s="729">
        <f>'Recycling - Case 2'!BH101</f>
        <v>0</v>
      </c>
      <c r="I91" s="729">
        <f>'Recycling - Case 2'!BI101</f>
        <v>0</v>
      </c>
      <c r="J91" s="729">
        <f>'Recycling - Case 2'!BJ101</f>
        <v>0</v>
      </c>
      <c r="K91" s="729">
        <f>'Recycling - Case 2'!BK101</f>
        <v>0.48434232094069229</v>
      </c>
      <c r="L91" s="730">
        <f t="shared" si="89"/>
        <v>0.99999999999999978</v>
      </c>
      <c r="N91" s="740">
        <f t="shared" si="56"/>
        <v>7243.6204632745166</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2'!AM141</f>
        <v>117.47688949488752</v>
      </c>
      <c r="Y91" s="751">
        <f>Parameters!S226</f>
        <v>0.71500000000000008</v>
      </c>
      <c r="Z91" s="751">
        <f t="shared" si="63"/>
        <v>0.4</v>
      </c>
      <c r="AA91" s="752">
        <f t="shared" si="64"/>
        <v>16.799195197768917</v>
      </c>
      <c r="AB91" s="752">
        <f t="shared" si="65"/>
        <v>16.799195197768917</v>
      </c>
      <c r="AC91" s="753">
        <f t="shared" si="66"/>
        <v>0</v>
      </c>
      <c r="AD91" s="752">
        <f t="shared" si="67"/>
        <v>9336.1114735117644</v>
      </c>
      <c r="AE91" s="752">
        <f t="shared" si="68"/>
        <v>477.81135797970097</v>
      </c>
      <c r="AF91" s="754">
        <f t="shared" si="69"/>
        <v>318.54090531980063</v>
      </c>
      <c r="AH91" s="750">
        <f>'Recycling - Case 2'!AM181</f>
        <v>117.47688949488752</v>
      </c>
      <c r="AI91" s="751">
        <f>Parameters!S226</f>
        <v>0.71500000000000008</v>
      </c>
      <c r="AJ91" s="751">
        <f t="shared" si="70"/>
        <v>0.4</v>
      </c>
      <c r="AK91" s="752">
        <f t="shared" si="71"/>
        <v>16.799195197768917</v>
      </c>
      <c r="AL91" s="752">
        <f t="shared" si="72"/>
        <v>16.799195197768917</v>
      </c>
      <c r="AM91" s="753">
        <f t="shared" si="73"/>
        <v>0</v>
      </c>
      <c r="AN91" s="752">
        <f t="shared" si="74"/>
        <v>9336.1114735117644</v>
      </c>
      <c r="AO91" s="752">
        <f t="shared" si="75"/>
        <v>477.81135797970097</v>
      </c>
      <c r="AP91" s="754">
        <f t="shared" si="76"/>
        <v>318.54090531980063</v>
      </c>
      <c r="AR91" s="901">
        <f>'Recycling - Case 2'!G101</f>
        <v>575.62445854598354</v>
      </c>
      <c r="AS91" s="902">
        <v>1</v>
      </c>
      <c r="AT91" s="902">
        <f t="shared" si="77"/>
        <v>0.05</v>
      </c>
      <c r="AU91" s="903">
        <f t="shared" si="78"/>
        <v>14.39061146364959</v>
      </c>
      <c r="AV91" s="903">
        <f t="shared" si="79"/>
        <v>14.39061146364959</v>
      </c>
      <c r="AW91" s="279">
        <f t="shared" si="80"/>
        <v>0</v>
      </c>
      <c r="AX91" s="903">
        <f t="shared" si="44"/>
        <v>162.05781504938005</v>
      </c>
      <c r="AY91" s="903">
        <f t="shared" si="49"/>
        <v>9.1312299077521164</v>
      </c>
      <c r="AZ91" s="904">
        <f t="shared" si="47"/>
        <v>6.0874866051680776</v>
      </c>
      <c r="BB91" s="913">
        <f t="shared" si="81"/>
        <v>436.44519342796008</v>
      </c>
      <c r="BC91" s="914">
        <f t="shared" si="82"/>
        <v>318.54090531980063</v>
      </c>
      <c r="BD91" s="933">
        <f t="shared" si="90"/>
        <v>6.0874866051680776</v>
      </c>
      <c r="BE91" s="914">
        <f t="shared" si="54"/>
        <v>761.07358535292883</v>
      </c>
      <c r="BF91" s="145">
        <v>0</v>
      </c>
      <c r="BG91" s="927">
        <f t="shared" si="83"/>
        <v>761.07358535292883</v>
      </c>
      <c r="BI91" s="913">
        <f t="shared" si="84"/>
        <v>436.44519342796008</v>
      </c>
      <c r="BJ91" s="914">
        <f t="shared" si="85"/>
        <v>318.54090531980063</v>
      </c>
      <c r="BK91" s="933">
        <f t="shared" si="86"/>
        <v>6.0874866051680776</v>
      </c>
      <c r="BL91" s="914">
        <f t="shared" si="55"/>
        <v>761.07358535292883</v>
      </c>
      <c r="BM91" s="145">
        <v>0</v>
      </c>
      <c r="BN91" s="927">
        <f t="shared" si="87"/>
        <v>761.07358535292883</v>
      </c>
    </row>
    <row r="92" spans="1:66">
      <c r="A92" s="805">
        <f>'Input data'!A122</f>
        <v>2022</v>
      </c>
      <c r="B92" s="728">
        <f>'Input data'!B122</f>
        <v>60.682333816399378</v>
      </c>
      <c r="C92" s="728">
        <f>'Recycling - Case 2'!AK102/B92</f>
        <v>357.3809169014288</v>
      </c>
      <c r="D92" s="729">
        <f>'Recycling - Case 2'!AM102</f>
        <v>0.25693229767920933</v>
      </c>
      <c r="E92" s="729">
        <f>'Recycling - Case 2'!BE102</f>
        <v>0.18290250130037577</v>
      </c>
      <c r="F92" s="729">
        <f>'Recycling - Case 2'!BF102</f>
        <v>0.23196985347229873</v>
      </c>
      <c r="G92" s="729">
        <f>'Recycling - Case 2'!BG102</f>
        <v>7.1510507677601337E-2</v>
      </c>
      <c r="H92" s="729">
        <f>'Recycling - Case 2'!BH102</f>
        <v>0</v>
      </c>
      <c r="I92" s="729">
        <f>'Recycling - Case 2'!BI102</f>
        <v>0</v>
      </c>
      <c r="J92" s="729">
        <f>'Recycling - Case 2'!BJ102</f>
        <v>0</v>
      </c>
      <c r="K92" s="729">
        <f>'Recycling - Case 2'!BK102</f>
        <v>0.51361713754972427</v>
      </c>
      <c r="L92" s="730">
        <f t="shared" si="89"/>
        <v>1</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0.10243354896055665</v>
      </c>
      <c r="Q92" s="734">
        <f t="shared" si="57"/>
        <v>237.96357706868275</v>
      </c>
      <c r="R92" s="734">
        <f t="shared" si="58"/>
        <v>237.96357706868275</v>
      </c>
      <c r="S92" s="737">
        <f t="shared" si="59"/>
        <v>0</v>
      </c>
      <c r="T92" s="734">
        <f t="shared" si="60"/>
        <v>12683.587986840692</v>
      </c>
      <c r="U92" s="734">
        <f t="shared" si="61"/>
        <v>638.10080857321782</v>
      </c>
      <c r="V92" s="741">
        <f t="shared" si="62"/>
        <v>425.40053904881188</v>
      </c>
      <c r="X92" s="750">
        <f>'Recycling - Case 2'!AM142</f>
        <v>0</v>
      </c>
      <c r="Y92" s="751">
        <f>Parameters!S227</f>
        <v>0.71500000000000008</v>
      </c>
      <c r="Z92" s="751">
        <f t="shared" si="63"/>
        <v>0.4</v>
      </c>
      <c r="AA92" s="752">
        <f t="shared" si="64"/>
        <v>0</v>
      </c>
      <c r="AB92" s="752">
        <f t="shared" si="65"/>
        <v>0</v>
      </c>
      <c r="AC92" s="753">
        <f t="shared" si="66"/>
        <v>0</v>
      </c>
      <c r="AD92" s="752">
        <f t="shared" si="67"/>
        <v>8880.7839440231091</v>
      </c>
      <c r="AE92" s="752">
        <f t="shared" si="68"/>
        <v>455.32752948865561</v>
      </c>
      <c r="AF92" s="754">
        <f t="shared" si="69"/>
        <v>303.55168632577039</v>
      </c>
      <c r="AH92" s="750">
        <f>'Recycling - Case 2'!AM182</f>
        <v>0</v>
      </c>
      <c r="AI92" s="751">
        <f>Parameters!S227</f>
        <v>0.71500000000000008</v>
      </c>
      <c r="AJ92" s="751">
        <f t="shared" si="70"/>
        <v>0.4</v>
      </c>
      <c r="AK92" s="752">
        <f t="shared" si="71"/>
        <v>0</v>
      </c>
      <c r="AL92" s="752">
        <f t="shared" si="72"/>
        <v>0</v>
      </c>
      <c r="AM92" s="753">
        <f t="shared" si="73"/>
        <v>0</v>
      </c>
      <c r="AN92" s="752">
        <f t="shared" si="74"/>
        <v>8880.7839440231091</v>
      </c>
      <c r="AO92" s="752">
        <f t="shared" si="75"/>
        <v>455.32752948865561</v>
      </c>
      <c r="AP92" s="754">
        <f t="shared" si="76"/>
        <v>303.55168632577039</v>
      </c>
      <c r="AR92" s="901">
        <f>'Recycling - Case 2'!G102</f>
        <v>593.34615107097636</v>
      </c>
      <c r="AS92" s="902">
        <v>1</v>
      </c>
      <c r="AT92" s="902">
        <f t="shared" si="77"/>
        <v>0.05</v>
      </c>
      <c r="AU92" s="903">
        <f t="shared" si="78"/>
        <v>14.83365377677441</v>
      </c>
      <c r="AV92" s="903">
        <f t="shared" si="79"/>
        <v>14.83365377677441</v>
      </c>
      <c r="AW92" s="279">
        <f t="shared" si="80"/>
        <v>0</v>
      </c>
      <c r="AX92" s="903">
        <f t="shared" si="44"/>
        <v>167.45395638043627</v>
      </c>
      <c r="AY92" s="903">
        <f t="shared" si="49"/>
        <v>9.4375124457182054</v>
      </c>
      <c r="AZ92" s="904">
        <f t="shared" si="47"/>
        <v>6.2916749638121372</v>
      </c>
      <c r="BB92" s="913">
        <f t="shared" si="81"/>
        <v>425.40053904881188</v>
      </c>
      <c r="BC92" s="914">
        <f t="shared" si="82"/>
        <v>303.55168632577039</v>
      </c>
      <c r="BD92" s="933">
        <f t="shared" si="90"/>
        <v>6.2916749638121372</v>
      </c>
      <c r="BE92" s="914">
        <f t="shared" si="54"/>
        <v>735.24390033839438</v>
      </c>
      <c r="BF92" s="145">
        <v>0</v>
      </c>
      <c r="BG92" s="927">
        <f t="shared" si="83"/>
        <v>735.24390033839438</v>
      </c>
      <c r="BI92" s="913">
        <f t="shared" si="84"/>
        <v>425.40053904881188</v>
      </c>
      <c r="BJ92" s="914">
        <f t="shared" si="85"/>
        <v>303.55168632577039</v>
      </c>
      <c r="BK92" s="933">
        <f t="shared" si="86"/>
        <v>6.2916749638121372</v>
      </c>
      <c r="BL92" s="914">
        <f t="shared" si="55"/>
        <v>735.24390033839438</v>
      </c>
      <c r="BM92" s="145">
        <v>0</v>
      </c>
      <c r="BN92" s="927">
        <f t="shared" si="87"/>
        <v>735.24390033839438</v>
      </c>
    </row>
    <row r="93" spans="1:66">
      <c r="A93" s="805">
        <f>'Input data'!A123</f>
        <v>2023</v>
      </c>
      <c r="B93" s="728">
        <f>'Input data'!B123</f>
        <v>61.381040636574369</v>
      </c>
      <c r="C93" s="728">
        <f>'Recycling - Case 2'!AK103/B93</f>
        <v>349.33248261682064</v>
      </c>
      <c r="D93" s="729">
        <f>'Recycling - Case 2'!AM103</f>
        <v>0.24426822179068367</v>
      </c>
      <c r="E93" s="729">
        <f>'Recycling - Case 2'!BE103</f>
        <v>0.18636100272049838</v>
      </c>
      <c r="F93" s="729">
        <f>'Recycling - Case 2'!BF103</f>
        <v>0.23635616892427852</v>
      </c>
      <c r="G93" s="729">
        <f>'Recycling - Case 2'!BG103</f>
        <v>6.9596401833593682E-2</v>
      </c>
      <c r="H93" s="729">
        <f>'Recycling - Case 2'!BH103</f>
        <v>0</v>
      </c>
      <c r="I93" s="729">
        <f>'Recycling - Case 2'!BI103</f>
        <v>0</v>
      </c>
      <c r="J93" s="729">
        <f>'Recycling - Case 2'!BJ103</f>
        <v>0</v>
      </c>
      <c r="K93" s="729">
        <f>'Recycling - Case 2'!BK103</f>
        <v>0.50768642652162943</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0.10306394492636793</v>
      </c>
      <c r="Q93" s="734">
        <f t="shared" si="57"/>
        <v>230.66816508590523</v>
      </c>
      <c r="R93" s="734">
        <f t="shared" si="58"/>
        <v>230.66816508590523</v>
      </c>
      <c r="S93" s="737">
        <f t="shared" si="59"/>
        <v>0</v>
      </c>
      <c r="T93" s="734">
        <f t="shared" si="60"/>
        <v>12295.670266412546</v>
      </c>
      <c r="U93" s="734">
        <f t="shared" si="61"/>
        <v>618.58588551405069</v>
      </c>
      <c r="V93" s="741">
        <f t="shared" si="62"/>
        <v>412.39059034270048</v>
      </c>
      <c r="X93" s="750">
        <f>'Recycling - Case 2'!AM143</f>
        <v>0</v>
      </c>
      <c r="Y93" s="751">
        <f>Parameters!S228</f>
        <v>0.71500000000000008</v>
      </c>
      <c r="Z93" s="751">
        <f t="shared" si="63"/>
        <v>0.4</v>
      </c>
      <c r="AA93" s="752">
        <f t="shared" si="64"/>
        <v>0</v>
      </c>
      <c r="AB93" s="752">
        <f t="shared" si="65"/>
        <v>0</v>
      </c>
      <c r="AC93" s="753">
        <f t="shared" si="66"/>
        <v>0</v>
      </c>
      <c r="AD93" s="752">
        <f t="shared" si="67"/>
        <v>8447.6630001882841</v>
      </c>
      <c r="AE93" s="752">
        <f t="shared" si="68"/>
        <v>433.12094383482582</v>
      </c>
      <c r="AF93" s="754">
        <f t="shared" si="69"/>
        <v>288.7472958898839</v>
      </c>
      <c r="AH93" s="750">
        <f>'Recycling - Case 2'!AM183</f>
        <v>0</v>
      </c>
      <c r="AI93" s="751">
        <f>Parameters!S228</f>
        <v>0.71500000000000008</v>
      </c>
      <c r="AJ93" s="751">
        <f t="shared" si="70"/>
        <v>0.4</v>
      </c>
      <c r="AK93" s="752">
        <f t="shared" si="71"/>
        <v>0</v>
      </c>
      <c r="AL93" s="752">
        <f t="shared" si="72"/>
        <v>0</v>
      </c>
      <c r="AM93" s="753">
        <f t="shared" si="73"/>
        <v>0</v>
      </c>
      <c r="AN93" s="752">
        <f t="shared" si="74"/>
        <v>8447.6630001882841</v>
      </c>
      <c r="AO93" s="752">
        <f t="shared" si="75"/>
        <v>433.12094383482582</v>
      </c>
      <c r="AP93" s="754">
        <f t="shared" si="76"/>
        <v>288.7472958898839</v>
      </c>
      <c r="AR93" s="901">
        <f>'Recycling - Case 2'!G103</f>
        <v>611.39963074599768</v>
      </c>
      <c r="AS93" s="902">
        <v>1</v>
      </c>
      <c r="AT93" s="902">
        <f t="shared" si="77"/>
        <v>0.05</v>
      </c>
      <c r="AU93" s="903">
        <f t="shared" si="78"/>
        <v>15.284990768649942</v>
      </c>
      <c r="AV93" s="903">
        <f t="shared" si="79"/>
        <v>15.284990768649942</v>
      </c>
      <c r="AW93" s="279">
        <f t="shared" si="80"/>
        <v>0</v>
      </c>
      <c r="AX93" s="903">
        <f t="shared" si="44"/>
        <v>172.98718789610865</v>
      </c>
      <c r="AY93" s="903">
        <f t="shared" si="49"/>
        <v>9.7517592529775765</v>
      </c>
      <c r="AZ93" s="904">
        <f t="shared" si="47"/>
        <v>6.5011728353183846</v>
      </c>
      <c r="BB93" s="913">
        <f t="shared" si="81"/>
        <v>412.39059034270048</v>
      </c>
      <c r="BC93" s="914">
        <f t="shared" si="82"/>
        <v>288.7472958898839</v>
      </c>
      <c r="BD93" s="933">
        <f t="shared" si="90"/>
        <v>6.5011728353183846</v>
      </c>
      <c r="BE93" s="914">
        <f t="shared" si="54"/>
        <v>707.63905906790274</v>
      </c>
      <c r="BF93" s="145">
        <v>0</v>
      </c>
      <c r="BG93" s="927">
        <f t="shared" si="83"/>
        <v>707.63905906790274</v>
      </c>
      <c r="BI93" s="913">
        <f t="shared" si="84"/>
        <v>412.39059034270048</v>
      </c>
      <c r="BJ93" s="914">
        <f t="shared" si="85"/>
        <v>288.7472958898839</v>
      </c>
      <c r="BK93" s="933">
        <f t="shared" si="86"/>
        <v>6.5011728353183846</v>
      </c>
      <c r="BL93" s="914">
        <f t="shared" si="55"/>
        <v>707.63905906790274</v>
      </c>
      <c r="BM93" s="145">
        <v>0</v>
      </c>
      <c r="BN93" s="927">
        <f t="shared" si="87"/>
        <v>707.63905906790274</v>
      </c>
    </row>
    <row r="94" spans="1:66">
      <c r="A94" s="805">
        <f>'Input data'!A124</f>
        <v>2024</v>
      </c>
      <c r="B94" s="728">
        <f>'Input data'!B124</f>
        <v>62.087792487153699</v>
      </c>
      <c r="C94" s="728">
        <f>'Recycling - Case 2'!AK104/B94</f>
        <v>341.44831989252719</v>
      </c>
      <c r="D94" s="729">
        <f>'Recycling - Case 2'!AM104</f>
        <v>0.23129370223762682</v>
      </c>
      <c r="E94" s="729">
        <f>'Recycling - Case 2'!BE104</f>
        <v>0.18986963377374971</v>
      </c>
      <c r="F94" s="729">
        <f>'Recycling - Case 2'!BF104</f>
        <v>0.24080606231296667</v>
      </c>
      <c r="G94" s="729">
        <f>'Recycling - Case 2'!BG104</f>
        <v>6.76511525592466E-2</v>
      </c>
      <c r="H94" s="729">
        <f>'Recycling - Case 2'!BH104</f>
        <v>0</v>
      </c>
      <c r="I94" s="729">
        <f>'Recycling - Case 2'!BI104</f>
        <v>0</v>
      </c>
      <c r="J94" s="729">
        <f>'Recycling - Case 2'!BJ104</f>
        <v>0</v>
      </c>
      <c r="K94" s="729">
        <f>'Recycling - Case 2'!BK104</f>
        <v>0.50167315135403667</v>
      </c>
      <c r="L94" s="730">
        <f t="shared" si="89"/>
        <v>0.99999999999999967</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0.10370211855235442</v>
      </c>
      <c r="Q94" s="734">
        <f t="shared" si="57"/>
        <v>222.56227381228354</v>
      </c>
      <c r="R94" s="734">
        <f t="shared" si="58"/>
        <v>222.56227381228354</v>
      </c>
      <c r="S94" s="737">
        <f t="shared" si="59"/>
        <v>0</v>
      </c>
      <c r="T94" s="734">
        <f t="shared" si="60"/>
        <v>11918.565625182431</v>
      </c>
      <c r="U94" s="734">
        <f t="shared" si="61"/>
        <v>599.66691504239884</v>
      </c>
      <c r="V94" s="741">
        <f t="shared" si="62"/>
        <v>399.77794336159923</v>
      </c>
      <c r="X94" s="750">
        <f>'Recycling - Case 2'!AM144</f>
        <v>0</v>
      </c>
      <c r="Y94" s="751">
        <f>Parameters!S229</f>
        <v>0.71500000000000008</v>
      </c>
      <c r="Z94" s="751">
        <f t="shared" si="63"/>
        <v>0.4</v>
      </c>
      <c r="AA94" s="752">
        <f t="shared" si="64"/>
        <v>0</v>
      </c>
      <c r="AB94" s="752">
        <f t="shared" si="65"/>
        <v>0</v>
      </c>
      <c r="AC94" s="753">
        <f t="shared" si="66"/>
        <v>0</v>
      </c>
      <c r="AD94" s="752">
        <f t="shared" si="67"/>
        <v>8035.6656140450768</v>
      </c>
      <c r="AE94" s="752">
        <f t="shared" si="68"/>
        <v>411.99738614320745</v>
      </c>
      <c r="AF94" s="754">
        <f t="shared" si="69"/>
        <v>274.66492409547163</v>
      </c>
      <c r="AH94" s="750">
        <f>'Recycling - Case 2'!AM184</f>
        <v>0</v>
      </c>
      <c r="AI94" s="751">
        <f>Parameters!S229</f>
        <v>0.71500000000000008</v>
      </c>
      <c r="AJ94" s="751">
        <f t="shared" si="70"/>
        <v>0.4</v>
      </c>
      <c r="AK94" s="752">
        <f t="shared" si="71"/>
        <v>0</v>
      </c>
      <c r="AL94" s="752">
        <f t="shared" si="72"/>
        <v>0</v>
      </c>
      <c r="AM94" s="753">
        <f t="shared" si="73"/>
        <v>0</v>
      </c>
      <c r="AN94" s="752">
        <f t="shared" si="74"/>
        <v>8035.6656140450768</v>
      </c>
      <c r="AO94" s="752">
        <f t="shared" si="75"/>
        <v>411.99738614320745</v>
      </c>
      <c r="AP94" s="754">
        <f t="shared" si="76"/>
        <v>274.66492409547163</v>
      </c>
      <c r="AR94" s="901">
        <f>'Recycling - Case 2'!G104</f>
        <v>629.79018860574899</v>
      </c>
      <c r="AS94" s="902">
        <v>1</v>
      </c>
      <c r="AT94" s="902">
        <f t="shared" si="77"/>
        <v>0.05</v>
      </c>
      <c r="AU94" s="903">
        <f t="shared" si="78"/>
        <v>15.744754715143726</v>
      </c>
      <c r="AV94" s="903">
        <f t="shared" si="79"/>
        <v>15.744754715143726</v>
      </c>
      <c r="AW94" s="279">
        <f t="shared" si="80"/>
        <v>0</v>
      </c>
      <c r="AX94" s="903">
        <f t="shared" si="44"/>
        <v>178.65795304017328</v>
      </c>
      <c r="AY94" s="903">
        <f t="shared" si="49"/>
        <v>10.073989571079093</v>
      </c>
      <c r="AZ94" s="904">
        <f t="shared" si="47"/>
        <v>6.7159930473860614</v>
      </c>
      <c r="BB94" s="913">
        <f t="shared" si="81"/>
        <v>399.77794336159923</v>
      </c>
      <c r="BC94" s="914">
        <f t="shared" si="82"/>
        <v>274.66492409547163</v>
      </c>
      <c r="BD94" s="933">
        <f t="shared" si="90"/>
        <v>6.7159930473860614</v>
      </c>
      <c r="BE94" s="914">
        <f t="shared" si="54"/>
        <v>681.15886050445692</v>
      </c>
      <c r="BF94" s="145">
        <v>0</v>
      </c>
      <c r="BG94" s="927">
        <f t="shared" si="83"/>
        <v>681.15886050445692</v>
      </c>
      <c r="BI94" s="913">
        <f t="shared" si="84"/>
        <v>399.77794336159923</v>
      </c>
      <c r="BJ94" s="914">
        <f t="shared" si="85"/>
        <v>274.66492409547163</v>
      </c>
      <c r="BK94" s="933">
        <f t="shared" si="86"/>
        <v>6.7159930473860614</v>
      </c>
      <c r="BL94" s="914">
        <f t="shared" si="55"/>
        <v>681.15886050445692</v>
      </c>
      <c r="BM94" s="145">
        <v>0</v>
      </c>
      <c r="BN94" s="927">
        <f t="shared" si="87"/>
        <v>681.15886050445692</v>
      </c>
    </row>
    <row r="95" spans="1:66">
      <c r="A95" s="805">
        <f>'Input data'!A125</f>
        <v>2025</v>
      </c>
      <c r="B95" s="728">
        <f>'Input data'!B125</f>
        <v>62.802682000000026</v>
      </c>
      <c r="C95" s="728">
        <f>'Recycling - Case 2'!AK105/B95</f>
        <v>333.72523472030412</v>
      </c>
      <c r="D95" s="729">
        <f>'Recycling - Case 2'!AM105</f>
        <v>0.21800123256124831</v>
      </c>
      <c r="E95" s="729">
        <f>'Recycling - Case 2'!BE105</f>
        <v>0.19343040664681491</v>
      </c>
      <c r="F95" s="729">
        <f>'Recycling - Case 2'!BF105</f>
        <v>0.24532208563545013</v>
      </c>
      <c r="G95" s="729">
        <f>'Recycling - Case 2'!BG105</f>
        <v>6.5673591883493782E-2</v>
      </c>
      <c r="H95" s="729">
        <f>'Recycling - Case 2'!BH105</f>
        <v>0</v>
      </c>
      <c r="I95" s="729">
        <f>'Recycling - Case 2'!BI105</f>
        <v>0</v>
      </c>
      <c r="J95" s="729">
        <f>'Recycling - Case 2'!BJ105</f>
        <v>0</v>
      </c>
      <c r="K95" s="729">
        <f>'Recycling - Case 2'!BK105</f>
        <v>0.49557391583424132</v>
      </c>
      <c r="L95" s="730">
        <f t="shared" si="89"/>
        <v>1.0000000000000002</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0.10434841487750979</v>
      </c>
      <c r="Q95" s="734">
        <f t="shared" si="57"/>
        <v>213.6311708022838</v>
      </c>
      <c r="R95" s="734">
        <f t="shared" si="58"/>
        <v>213.6311708022838</v>
      </c>
      <c r="S95" s="737">
        <f t="shared" si="59"/>
        <v>0</v>
      </c>
      <c r="T95" s="734">
        <f t="shared" si="60"/>
        <v>11550.921491318561</v>
      </c>
      <c r="U95" s="734">
        <f t="shared" si="61"/>
        <v>581.2753046661544</v>
      </c>
      <c r="V95" s="741">
        <f t="shared" si="62"/>
        <v>387.51686977743628</v>
      </c>
      <c r="X95" s="750">
        <f>'Recycling - Case 2'!AM145</f>
        <v>0</v>
      </c>
      <c r="Y95" s="751">
        <f>Parameters!S230</f>
        <v>0.71500000000000008</v>
      </c>
      <c r="Z95" s="751">
        <f t="shared" si="63"/>
        <v>0.4</v>
      </c>
      <c r="AA95" s="752">
        <f t="shared" si="64"/>
        <v>0</v>
      </c>
      <c r="AB95" s="752">
        <f t="shared" si="65"/>
        <v>0</v>
      </c>
      <c r="AC95" s="753">
        <f t="shared" si="66"/>
        <v>0</v>
      </c>
      <c r="AD95" s="752">
        <f t="shared" si="67"/>
        <v>7643.7615775282748</v>
      </c>
      <c r="AE95" s="752">
        <f t="shared" si="68"/>
        <v>391.90403651680168</v>
      </c>
      <c r="AF95" s="754">
        <f t="shared" si="69"/>
        <v>261.26935767786779</v>
      </c>
      <c r="AH95" s="750">
        <f>'Recycling - Case 2'!AM185</f>
        <v>0</v>
      </c>
      <c r="AI95" s="751">
        <f>Parameters!S230</f>
        <v>0.71500000000000008</v>
      </c>
      <c r="AJ95" s="751">
        <f t="shared" si="70"/>
        <v>0.4</v>
      </c>
      <c r="AK95" s="752">
        <f t="shared" si="71"/>
        <v>0</v>
      </c>
      <c r="AL95" s="752">
        <f t="shared" si="72"/>
        <v>0</v>
      </c>
      <c r="AM95" s="753">
        <f t="shared" si="73"/>
        <v>0</v>
      </c>
      <c r="AN95" s="752">
        <f t="shared" si="74"/>
        <v>7643.7615775282748</v>
      </c>
      <c r="AO95" s="752">
        <f t="shared" si="75"/>
        <v>391.90403651680168</v>
      </c>
      <c r="AP95" s="754">
        <f t="shared" si="76"/>
        <v>261.26935767786779</v>
      </c>
      <c r="AR95" s="901">
        <f>'Recycling - Case 2'!G105</f>
        <v>648.52319354163239</v>
      </c>
      <c r="AS95" s="902">
        <v>1</v>
      </c>
      <c r="AT95" s="902">
        <f t="shared" si="77"/>
        <v>0.05</v>
      </c>
      <c r="AU95" s="903">
        <f t="shared" si="78"/>
        <v>16.213079838540811</v>
      </c>
      <c r="AV95" s="903">
        <f t="shared" si="79"/>
        <v>16.213079838540811</v>
      </c>
      <c r="AW95" s="279">
        <f t="shared" si="80"/>
        <v>0</v>
      </c>
      <c r="AX95" s="903">
        <f t="shared" si="44"/>
        <v>184.46680365453622</v>
      </c>
      <c r="AY95" s="903">
        <f t="shared" si="49"/>
        <v>10.404229224177881</v>
      </c>
      <c r="AZ95" s="904">
        <f t="shared" si="47"/>
        <v>6.9361528161185868</v>
      </c>
      <c r="BB95" s="913">
        <f t="shared" si="81"/>
        <v>387.51686977743628</v>
      </c>
      <c r="BC95" s="914">
        <f t="shared" si="82"/>
        <v>261.26935767786779</v>
      </c>
      <c r="BD95" s="933">
        <f t="shared" si="90"/>
        <v>6.9361528161185868</v>
      </c>
      <c r="BE95" s="914">
        <f t="shared" si="54"/>
        <v>655.72238027142259</v>
      </c>
      <c r="BF95" s="145">
        <v>0</v>
      </c>
      <c r="BG95" s="927">
        <f t="shared" si="83"/>
        <v>655.72238027142259</v>
      </c>
      <c r="BI95" s="913">
        <f t="shared" si="84"/>
        <v>387.51686977743628</v>
      </c>
      <c r="BJ95" s="914">
        <f t="shared" si="85"/>
        <v>261.26935767786779</v>
      </c>
      <c r="BK95" s="933">
        <f t="shared" si="86"/>
        <v>6.9361528161185868</v>
      </c>
      <c r="BL95" s="914">
        <f t="shared" si="55"/>
        <v>655.72238027142259</v>
      </c>
      <c r="BM95" s="145">
        <v>0</v>
      </c>
      <c r="BN95" s="927">
        <f t="shared" si="87"/>
        <v>655.72238027142259</v>
      </c>
    </row>
    <row r="96" spans="1:66">
      <c r="A96" s="805">
        <f>'Input data'!A126</f>
        <v>2026</v>
      </c>
      <c r="B96" s="728">
        <f>'Input data'!B126</f>
        <v>63.421065342005143</v>
      </c>
      <c r="C96" s="728">
        <f>'Recycling - Case 2'!AK106/B96</f>
        <v>326.49534137552507</v>
      </c>
      <c r="D96" s="729">
        <f>'Recycling - Case 2'!AM106</f>
        <v>0.20451040324022446</v>
      </c>
      <c r="E96" s="729">
        <f>'Recycling - Case 2'!BE106</f>
        <v>0.19690110218745824</v>
      </c>
      <c r="F96" s="729">
        <f>'Recycling - Case 2'!BF106</f>
        <v>0.24972386653120623</v>
      </c>
      <c r="G96" s="729">
        <f>'Recycling - Case 2'!BG106</f>
        <v>6.3700184645464952E-2</v>
      </c>
      <c r="H96" s="729">
        <f>'Recycling - Case 2'!BH106</f>
        <v>0</v>
      </c>
      <c r="I96" s="729">
        <f>'Recycling - Case 2'!BI106</f>
        <v>0</v>
      </c>
      <c r="J96" s="729">
        <f>'Recycling - Case 2'!BJ106</f>
        <v>0</v>
      </c>
      <c r="K96" s="729">
        <f>'Recycling - Case 2'!BK106</f>
        <v>0.48967484663587058</v>
      </c>
      <c r="L96" s="730">
        <f t="shared" si="89"/>
        <v>1</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0.10496001249254597</v>
      </c>
      <c r="Q96" s="734">
        <f t="shared" si="57"/>
        <v>203.77584751812222</v>
      </c>
      <c r="R96" s="734">
        <f t="shared" si="58"/>
        <v>203.77584751812222</v>
      </c>
      <c r="S96" s="737">
        <f t="shared" si="59"/>
        <v>0</v>
      </c>
      <c r="T96" s="734">
        <f t="shared" si="60"/>
        <v>11191.352250158005</v>
      </c>
      <c r="U96" s="734">
        <f t="shared" si="61"/>
        <v>563.34508867867692</v>
      </c>
      <c r="V96" s="741">
        <f t="shared" si="62"/>
        <v>375.5633924524513</v>
      </c>
      <c r="X96" s="750">
        <f>'Recycling - Case 2'!AM146</f>
        <v>0</v>
      </c>
      <c r="Y96" s="751">
        <f>Parameters!S231</f>
        <v>0.71500000000000008</v>
      </c>
      <c r="Z96" s="751">
        <f t="shared" si="63"/>
        <v>0.4</v>
      </c>
      <c r="AA96" s="752">
        <f t="shared" si="64"/>
        <v>0</v>
      </c>
      <c r="AB96" s="752">
        <f t="shared" si="65"/>
        <v>0</v>
      </c>
      <c r="AC96" s="753">
        <f t="shared" si="66"/>
        <v>0</v>
      </c>
      <c r="AD96" s="752">
        <f t="shared" si="67"/>
        <v>7270.9709264128905</v>
      </c>
      <c r="AE96" s="752">
        <f t="shared" si="68"/>
        <v>372.79065111538404</v>
      </c>
      <c r="AF96" s="754">
        <f t="shared" si="69"/>
        <v>248.52710074358936</v>
      </c>
      <c r="AH96" s="750">
        <f>'Recycling - Case 2'!AM186</f>
        <v>0</v>
      </c>
      <c r="AI96" s="751">
        <f>Parameters!S231</f>
        <v>0.71500000000000008</v>
      </c>
      <c r="AJ96" s="751">
        <f t="shared" si="70"/>
        <v>0.4</v>
      </c>
      <c r="AK96" s="752">
        <f t="shared" si="71"/>
        <v>0</v>
      </c>
      <c r="AL96" s="752">
        <f t="shared" si="72"/>
        <v>0</v>
      </c>
      <c r="AM96" s="753">
        <f t="shared" si="73"/>
        <v>0</v>
      </c>
      <c r="AN96" s="752">
        <f t="shared" si="74"/>
        <v>7270.9709264128905</v>
      </c>
      <c r="AO96" s="752">
        <f t="shared" si="75"/>
        <v>372.79065111538404</v>
      </c>
      <c r="AP96" s="754">
        <f t="shared" si="76"/>
        <v>248.52710074358936</v>
      </c>
      <c r="AR96" s="901">
        <f>'Recycling - Case 2'!G106</f>
        <v>666.50338782740016</v>
      </c>
      <c r="AS96" s="902">
        <v>1</v>
      </c>
      <c r="AT96" s="902">
        <f t="shared" si="77"/>
        <v>0.05</v>
      </c>
      <c r="AU96" s="903">
        <f t="shared" si="78"/>
        <v>16.662584695685005</v>
      </c>
      <c r="AV96" s="903">
        <f t="shared" si="79"/>
        <v>16.662584695685005</v>
      </c>
      <c r="AW96" s="279">
        <f t="shared" si="80"/>
        <v>0</v>
      </c>
      <c r="AX96" s="903">
        <f t="shared" si="44"/>
        <v>190.38687800117651</v>
      </c>
      <c r="AY96" s="903">
        <f t="shared" si="49"/>
        <v>10.74251034904473</v>
      </c>
      <c r="AZ96" s="904">
        <f t="shared" si="47"/>
        <v>7.1616735660298199</v>
      </c>
      <c r="BB96" s="913">
        <f t="shared" si="81"/>
        <v>375.5633924524513</v>
      </c>
      <c r="BC96" s="914">
        <f t="shared" si="82"/>
        <v>248.52710074358936</v>
      </c>
      <c r="BD96" s="933">
        <f t="shared" si="90"/>
        <v>7.1616735660298199</v>
      </c>
      <c r="BE96" s="914">
        <f t="shared" si="54"/>
        <v>631.25216676207037</v>
      </c>
      <c r="BF96" s="145">
        <v>0</v>
      </c>
      <c r="BG96" s="927">
        <f t="shared" si="83"/>
        <v>631.25216676207037</v>
      </c>
      <c r="BI96" s="913">
        <f t="shared" si="84"/>
        <v>375.5633924524513</v>
      </c>
      <c r="BJ96" s="914">
        <f t="shared" si="85"/>
        <v>248.52710074358936</v>
      </c>
      <c r="BK96" s="933">
        <f t="shared" si="86"/>
        <v>7.1616735660298199</v>
      </c>
      <c r="BL96" s="914">
        <f t="shared" si="55"/>
        <v>631.25216676207037</v>
      </c>
      <c r="BM96" s="145">
        <v>0</v>
      </c>
      <c r="BN96" s="927">
        <f t="shared" si="87"/>
        <v>631.25216676207037</v>
      </c>
    </row>
    <row r="97" spans="1:66">
      <c r="A97" s="805">
        <f>'Input data'!A127</f>
        <v>2027</v>
      </c>
      <c r="B97" s="728">
        <f>'Input data'!B127</f>
        <v>64.045537563425796</v>
      </c>
      <c r="C97" s="728">
        <f>'Recycling - Case 2'!AK107/B97</f>
        <v>319.38789989359691</v>
      </c>
      <c r="D97" s="729">
        <f>'Recycling - Case 2'!AM107</f>
        <v>0.19067907685240901</v>
      </c>
      <c r="E97" s="729">
        <f>'Recycling - Case 2'!BE107</f>
        <v>0.20043273956918531</v>
      </c>
      <c r="F97" s="729">
        <f>'Recycling - Case 2'!BF107</f>
        <v>0.25420293816845596</v>
      </c>
      <c r="G97" s="729">
        <f>'Recycling - Case 2'!BG107</f>
        <v>6.1689515064928716E-2</v>
      </c>
      <c r="H97" s="729">
        <f>'Recycling - Case 2'!BH107</f>
        <v>0</v>
      </c>
      <c r="I97" s="729">
        <f>'Recycling - Case 2'!BI107</f>
        <v>0</v>
      </c>
      <c r="J97" s="729">
        <f>'Recycling - Case 2'!BJ107</f>
        <v>0</v>
      </c>
      <c r="K97" s="729">
        <f>'Recycling - Case 2'!BK107</f>
        <v>0.48367480719743011</v>
      </c>
      <c r="L97" s="730">
        <f t="shared" si="89"/>
        <v>1</v>
      </c>
      <c r="N97" s="740">
        <f t="shared" si="56"/>
        <v>3900.4110186862781</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0.10558130459504048</v>
      </c>
      <c r="Q97" s="734">
        <f t="shared" si="57"/>
        <v>193.07576144773347</v>
      </c>
      <c r="R97" s="734">
        <f t="shared" si="58"/>
        <v>193.07576144773347</v>
      </c>
      <c r="S97" s="737">
        <f t="shared" si="59"/>
        <v>0</v>
      </c>
      <c r="T97" s="734">
        <f t="shared" si="60"/>
        <v>10838.619321750302</v>
      </c>
      <c r="U97" s="734">
        <f t="shared" si="61"/>
        <v>545.80868985543509</v>
      </c>
      <c r="V97" s="741">
        <f t="shared" si="62"/>
        <v>363.87245990362339</v>
      </c>
      <c r="X97" s="750">
        <f>'Recycling - Case 2'!AM147</f>
        <v>0</v>
      </c>
      <c r="Y97" s="751">
        <f>Parameters!S232</f>
        <v>0.71500000000000008</v>
      </c>
      <c r="Z97" s="751">
        <f t="shared" si="63"/>
        <v>0.4</v>
      </c>
      <c r="AA97" s="752">
        <f t="shared" si="64"/>
        <v>0</v>
      </c>
      <c r="AB97" s="752">
        <f t="shared" si="65"/>
        <v>0</v>
      </c>
      <c r="AC97" s="753">
        <f t="shared" si="66"/>
        <v>0</v>
      </c>
      <c r="AD97" s="752">
        <f t="shared" si="67"/>
        <v>6916.3614898931573</v>
      </c>
      <c r="AE97" s="752">
        <f t="shared" si="68"/>
        <v>354.60943651973321</v>
      </c>
      <c r="AF97" s="754">
        <f t="shared" si="69"/>
        <v>236.40629101315548</v>
      </c>
      <c r="AH97" s="750">
        <f>'Recycling - Case 2'!AM187</f>
        <v>0</v>
      </c>
      <c r="AI97" s="751">
        <f>Parameters!S232</f>
        <v>0.71500000000000008</v>
      </c>
      <c r="AJ97" s="751">
        <f t="shared" si="70"/>
        <v>0.4</v>
      </c>
      <c r="AK97" s="752">
        <f t="shared" si="71"/>
        <v>0</v>
      </c>
      <c r="AL97" s="752">
        <f t="shared" si="72"/>
        <v>0</v>
      </c>
      <c r="AM97" s="753">
        <f t="shared" si="73"/>
        <v>0</v>
      </c>
      <c r="AN97" s="752">
        <f t="shared" si="74"/>
        <v>6916.3614898931573</v>
      </c>
      <c r="AO97" s="752">
        <f t="shared" si="75"/>
        <v>354.60943651973321</v>
      </c>
      <c r="AP97" s="754">
        <f t="shared" si="76"/>
        <v>236.40629101315548</v>
      </c>
      <c r="AR97" s="901">
        <f>'Recycling - Case 2'!G107</f>
        <v>684.77478823938122</v>
      </c>
      <c r="AS97" s="902">
        <v>1</v>
      </c>
      <c r="AT97" s="902">
        <f t="shared" si="77"/>
        <v>0.05</v>
      </c>
      <c r="AU97" s="903">
        <f t="shared" si="78"/>
        <v>17.119369705984532</v>
      </c>
      <c r="AV97" s="903">
        <f t="shared" si="79"/>
        <v>17.119369705984532</v>
      </c>
      <c r="AW97" s="279">
        <f t="shared" si="80"/>
        <v>0</v>
      </c>
      <c r="AX97" s="903">
        <f t="shared" si="44"/>
        <v>196.41897906732379</v>
      </c>
      <c r="AY97" s="903">
        <f t="shared" si="49"/>
        <v>11.087268639837252</v>
      </c>
      <c r="AZ97" s="904">
        <f t="shared" si="47"/>
        <v>7.391512426558168</v>
      </c>
      <c r="BB97" s="913">
        <f t="shared" si="81"/>
        <v>363.87245990362339</v>
      </c>
      <c r="BC97" s="914">
        <f t="shared" si="82"/>
        <v>236.40629101315548</v>
      </c>
      <c r="BD97" s="933">
        <f t="shared" si="90"/>
        <v>7.391512426558168</v>
      </c>
      <c r="BE97" s="914">
        <f t="shared" si="54"/>
        <v>607.67026334333707</v>
      </c>
      <c r="BF97" s="145">
        <v>0</v>
      </c>
      <c r="BG97" s="927">
        <f t="shared" si="83"/>
        <v>607.67026334333707</v>
      </c>
      <c r="BI97" s="913">
        <f t="shared" si="84"/>
        <v>363.87245990362339</v>
      </c>
      <c r="BJ97" s="914">
        <f t="shared" si="85"/>
        <v>236.40629101315548</v>
      </c>
      <c r="BK97" s="933">
        <f t="shared" si="86"/>
        <v>7.391512426558168</v>
      </c>
      <c r="BL97" s="914">
        <f t="shared" si="55"/>
        <v>607.67026334333707</v>
      </c>
      <c r="BM97" s="145">
        <v>0</v>
      </c>
      <c r="BN97" s="927">
        <f t="shared" si="87"/>
        <v>607.67026334333707</v>
      </c>
    </row>
    <row r="98" spans="1:66">
      <c r="A98" s="805">
        <f>'Input data'!A128</f>
        <v>2028</v>
      </c>
      <c r="B98" s="728">
        <f>'Input data'!B128</f>
        <v>64.676158618096451</v>
      </c>
      <c r="C98" s="728">
        <f>'Recycling - Case 2'!AK108/B98</f>
        <v>312.40049312460883</v>
      </c>
      <c r="D98" s="729">
        <f>'Recycling - Case 2'!AM108</f>
        <v>0.17649661494683172</v>
      </c>
      <c r="E98" s="729">
        <f>'Recycling - Case 2'!BE108</f>
        <v>0.20402762314460737</v>
      </c>
      <c r="F98" s="729">
        <f>'Recycling - Case 2'!BF108</f>
        <v>0.25876222308972174</v>
      </c>
      <c r="G98" s="729">
        <f>'Recycling - Case 2'!BG108</f>
        <v>5.9640219057551069E-2</v>
      </c>
      <c r="H98" s="729">
        <f>'Recycling - Case 2'!BH108</f>
        <v>0</v>
      </c>
      <c r="I98" s="729">
        <f>'Recycling - Case 2'!BI108</f>
        <v>0</v>
      </c>
      <c r="J98" s="729">
        <f>'Recycling - Case 2'!BJ108</f>
        <v>0</v>
      </c>
      <c r="K98" s="729">
        <f>'Recycling - Case 2'!BK108</f>
        <v>0.47756993470811976</v>
      </c>
      <c r="L98" s="730">
        <f t="shared" si="89"/>
        <v>1</v>
      </c>
      <c r="N98" s="740">
        <f t="shared" si="56"/>
        <v>3566.0900742274539</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0.10621267571265587</v>
      </c>
      <c r="Q98" s="734">
        <f t="shared" si="57"/>
        <v>181.51534803676438</v>
      </c>
      <c r="R98" s="734">
        <f t="shared" si="58"/>
        <v>181.51534803676438</v>
      </c>
      <c r="S98" s="737">
        <f t="shared" si="59"/>
        <v>0</v>
      </c>
      <c r="T98" s="734">
        <f t="shared" si="60"/>
        <v>10491.528967847624</v>
      </c>
      <c r="U98" s="734">
        <f t="shared" si="61"/>
        <v>528.60570193944295</v>
      </c>
      <c r="V98" s="741">
        <f t="shared" si="62"/>
        <v>352.40380129296199</v>
      </c>
      <c r="X98" s="750">
        <f>'Recycling - Case 2'!AM148</f>
        <v>0</v>
      </c>
      <c r="Y98" s="751">
        <f>Parameters!S233</f>
        <v>0.71500000000000008</v>
      </c>
      <c r="Z98" s="751">
        <f t="shared" si="63"/>
        <v>0.4</v>
      </c>
      <c r="AA98" s="752">
        <f t="shared" si="64"/>
        <v>0</v>
      </c>
      <c r="AB98" s="752">
        <f t="shared" si="65"/>
        <v>0</v>
      </c>
      <c r="AC98" s="753">
        <f t="shared" si="66"/>
        <v>0</v>
      </c>
      <c r="AD98" s="752">
        <f t="shared" si="67"/>
        <v>6579.0465596699687</v>
      </c>
      <c r="AE98" s="752">
        <f t="shared" si="68"/>
        <v>337.3149302231883</v>
      </c>
      <c r="AF98" s="754">
        <f t="shared" si="69"/>
        <v>224.8766201487922</v>
      </c>
      <c r="AH98" s="750">
        <f>'Recycling - Case 2'!AM188</f>
        <v>0</v>
      </c>
      <c r="AI98" s="751">
        <f>Parameters!S233</f>
        <v>0.71500000000000008</v>
      </c>
      <c r="AJ98" s="751">
        <f t="shared" si="70"/>
        <v>0.4</v>
      </c>
      <c r="AK98" s="752">
        <f t="shared" si="71"/>
        <v>0</v>
      </c>
      <c r="AL98" s="752">
        <f t="shared" si="72"/>
        <v>0</v>
      </c>
      <c r="AM98" s="753">
        <f t="shared" si="73"/>
        <v>0</v>
      </c>
      <c r="AN98" s="752">
        <f t="shared" si="74"/>
        <v>6579.0465596699687</v>
      </c>
      <c r="AO98" s="752">
        <f t="shared" si="75"/>
        <v>337.3149302231883</v>
      </c>
      <c r="AP98" s="754">
        <f t="shared" si="76"/>
        <v>224.8766201487922</v>
      </c>
      <c r="AR98" s="901">
        <f>'Recycling - Case 2'!G108</f>
        <v>703.34138624405773</v>
      </c>
      <c r="AS98" s="902">
        <v>1</v>
      </c>
      <c r="AT98" s="902">
        <f t="shared" si="77"/>
        <v>0.05</v>
      </c>
      <c r="AU98" s="903">
        <f t="shared" si="78"/>
        <v>17.583534656101445</v>
      </c>
      <c r="AV98" s="903">
        <f t="shared" si="79"/>
        <v>17.583534656101445</v>
      </c>
      <c r="AW98" s="279">
        <f t="shared" si="80"/>
        <v>0</v>
      </c>
      <c r="AX98" s="903">
        <f t="shared" si="44"/>
        <v>202.56396286453395</v>
      </c>
      <c r="AY98" s="903">
        <f t="shared" si="49"/>
        <v>11.438550858891288</v>
      </c>
      <c r="AZ98" s="904">
        <f t="shared" si="47"/>
        <v>7.6257005725941918</v>
      </c>
      <c r="BB98" s="913">
        <f t="shared" si="81"/>
        <v>352.40380129296199</v>
      </c>
      <c r="BC98" s="914">
        <f t="shared" si="82"/>
        <v>224.8766201487922</v>
      </c>
      <c r="BD98" s="933">
        <f t="shared" si="90"/>
        <v>7.6257005725941918</v>
      </c>
      <c r="BE98" s="914">
        <f t="shared" si="54"/>
        <v>584.9061220143484</v>
      </c>
      <c r="BF98" s="145">
        <v>0</v>
      </c>
      <c r="BG98" s="927">
        <f t="shared" si="83"/>
        <v>584.9061220143484</v>
      </c>
      <c r="BI98" s="913">
        <f t="shared" si="84"/>
        <v>352.40380129296199</v>
      </c>
      <c r="BJ98" s="914">
        <f t="shared" si="85"/>
        <v>224.8766201487922</v>
      </c>
      <c r="BK98" s="933">
        <f t="shared" si="86"/>
        <v>7.6257005725941918</v>
      </c>
      <c r="BL98" s="914">
        <f t="shared" si="55"/>
        <v>584.9061220143484</v>
      </c>
      <c r="BM98" s="145">
        <v>0</v>
      </c>
      <c r="BN98" s="927">
        <f t="shared" si="87"/>
        <v>584.9061220143484</v>
      </c>
    </row>
    <row r="99" spans="1:66">
      <c r="A99" s="805">
        <f>'Input data'!A129</f>
        <v>2029</v>
      </c>
      <c r="B99" s="728">
        <f>'Input data'!B129</f>
        <v>65.31298905018393</v>
      </c>
      <c r="C99" s="728">
        <f>'Recycling - Case 2'!AK109/B99</f>
        <v>305.53070568103118</v>
      </c>
      <c r="D99" s="729">
        <f>'Recycling - Case 2'!AM109</f>
        <v>0.161951847001268</v>
      </c>
      <c r="E99" s="729">
        <f>'Recycling - Case 2'!BE109</f>
        <v>0.20768815931261841</v>
      </c>
      <c r="F99" s="729">
        <f>'Recycling - Case 2'!BF109</f>
        <v>0.26340477325982065</v>
      </c>
      <c r="G99" s="729">
        <f>'Recycling - Case 2'!BG109</f>
        <v>5.7550871499356622E-2</v>
      </c>
      <c r="H99" s="729">
        <f>'Recycling - Case 2'!BH109</f>
        <v>0</v>
      </c>
      <c r="I99" s="729">
        <f>'Recycling - Case 2'!BI109</f>
        <v>0</v>
      </c>
      <c r="J99" s="729">
        <f>'Recycling - Case 2'!BJ109</f>
        <v>0</v>
      </c>
      <c r="K99" s="729">
        <f>'Recycling - Case 2'!BK109</f>
        <v>0.47135619592820438</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0.10685452714859954</v>
      </c>
      <c r="Q99" s="734">
        <f t="shared" si="57"/>
        <v>169.07847057674107</v>
      </c>
      <c r="R99" s="734">
        <f t="shared" si="58"/>
        <v>169.07847057674107</v>
      </c>
      <c r="S99" s="737">
        <f t="shared" si="59"/>
        <v>0</v>
      </c>
      <c r="T99" s="734">
        <f t="shared" si="60"/>
        <v>10148.929532795008</v>
      </c>
      <c r="U99" s="734">
        <f t="shared" si="61"/>
        <v>511.67790562935846</v>
      </c>
      <c r="V99" s="741">
        <f t="shared" si="62"/>
        <v>341.11860375290564</v>
      </c>
      <c r="X99" s="750">
        <f>'Recycling - Case 2'!AM149</f>
        <v>0</v>
      </c>
      <c r="Y99" s="751">
        <f>Parameters!S234</f>
        <v>0.71500000000000008</v>
      </c>
      <c r="Z99" s="751">
        <f t="shared" si="63"/>
        <v>0.4</v>
      </c>
      <c r="AA99" s="752">
        <f t="shared" si="64"/>
        <v>0</v>
      </c>
      <c r="AB99" s="752">
        <f t="shared" si="65"/>
        <v>0</v>
      </c>
      <c r="AC99" s="753">
        <f t="shared" si="66"/>
        <v>0</v>
      </c>
      <c r="AD99" s="752">
        <f t="shared" si="67"/>
        <v>6258.182672718267</v>
      </c>
      <c r="AE99" s="752">
        <f t="shared" si="68"/>
        <v>320.86388695170194</v>
      </c>
      <c r="AF99" s="754">
        <f t="shared" si="69"/>
        <v>213.9092579678013</v>
      </c>
      <c r="AH99" s="750">
        <f>'Recycling - Case 2'!AM189</f>
        <v>0</v>
      </c>
      <c r="AI99" s="751">
        <f>Parameters!S234</f>
        <v>0.71500000000000008</v>
      </c>
      <c r="AJ99" s="751">
        <f t="shared" si="70"/>
        <v>0.4</v>
      </c>
      <c r="AK99" s="752">
        <f t="shared" si="71"/>
        <v>0</v>
      </c>
      <c r="AL99" s="752">
        <f t="shared" si="72"/>
        <v>0</v>
      </c>
      <c r="AM99" s="753">
        <f t="shared" si="73"/>
        <v>0</v>
      </c>
      <c r="AN99" s="752">
        <f t="shared" si="74"/>
        <v>6258.182672718267</v>
      </c>
      <c r="AO99" s="752">
        <f t="shared" si="75"/>
        <v>320.86388695170194</v>
      </c>
      <c r="AP99" s="754">
        <f t="shared" si="76"/>
        <v>213.9092579678013</v>
      </c>
      <c r="AR99" s="901">
        <f>'Recycling - Case 2'!G109</f>
        <v>722.20722367827375</v>
      </c>
      <c r="AS99" s="902">
        <v>1</v>
      </c>
      <c r="AT99" s="902">
        <f t="shared" si="77"/>
        <v>0.05</v>
      </c>
      <c r="AU99" s="903">
        <f t="shared" si="78"/>
        <v>18.055180591956844</v>
      </c>
      <c r="AV99" s="903">
        <f t="shared" si="79"/>
        <v>18.055180591956844</v>
      </c>
      <c r="AW99" s="279">
        <f t="shared" si="80"/>
        <v>0</v>
      </c>
      <c r="AX99" s="903">
        <f t="shared" si="44"/>
        <v>208.82273660005174</v>
      </c>
      <c r="AY99" s="903">
        <f t="shared" si="49"/>
        <v>11.796406856439056</v>
      </c>
      <c r="AZ99" s="904">
        <f t="shared" si="47"/>
        <v>7.8642712376260375</v>
      </c>
      <c r="BB99" s="913">
        <f t="shared" si="81"/>
        <v>341.11860375290564</v>
      </c>
      <c r="BC99" s="914">
        <f t="shared" si="82"/>
        <v>213.9092579678013</v>
      </c>
      <c r="BD99" s="933">
        <f t="shared" si="90"/>
        <v>7.8642712376260375</v>
      </c>
      <c r="BE99" s="914">
        <f t="shared" si="54"/>
        <v>562.89213295833292</v>
      </c>
      <c r="BF99" s="145">
        <v>0</v>
      </c>
      <c r="BG99" s="927">
        <f t="shared" si="83"/>
        <v>562.89213295833292</v>
      </c>
      <c r="BI99" s="913">
        <f t="shared" si="84"/>
        <v>341.11860375290564</v>
      </c>
      <c r="BJ99" s="914">
        <f t="shared" si="85"/>
        <v>213.9092579678013</v>
      </c>
      <c r="BK99" s="933">
        <f t="shared" si="86"/>
        <v>7.8642712376260375</v>
      </c>
      <c r="BL99" s="914">
        <f t="shared" si="55"/>
        <v>562.89213295833292</v>
      </c>
      <c r="BM99" s="145">
        <v>0</v>
      </c>
      <c r="BN99" s="927">
        <f t="shared" si="87"/>
        <v>562.89213295833292</v>
      </c>
    </row>
    <row r="100" spans="1:66">
      <c r="A100" s="805">
        <f>'Input data'!A130</f>
        <v>2030</v>
      </c>
      <c r="B100" s="728">
        <f>'Input data'!B130</f>
        <v>65.956090000000003</v>
      </c>
      <c r="C100" s="728">
        <f>'Recycling - Case 2'!AK110/B100</f>
        <v>298.77612226712506</v>
      </c>
      <c r="D100" s="729">
        <f>'Recycling - Case 2'!AM110</f>
        <v>0.1470330241938301</v>
      </c>
      <c r="E100" s="729">
        <f>'Recycling - Case 2'!BE110</f>
        <v>0.21141686250550593</v>
      </c>
      <c r="F100" s="729">
        <f>'Recycling - Case 2'!BF110</f>
        <v>0.26813377765913904</v>
      </c>
      <c r="G100" s="729">
        <f>'Recycling - Case 2'!BG110</f>
        <v>5.541998265772928E-2</v>
      </c>
      <c r="H100" s="729">
        <f>'Recycling - Case 2'!BH110</f>
        <v>0</v>
      </c>
      <c r="I100" s="729">
        <f>'Recycling - Case 2'!BI110</f>
        <v>0</v>
      </c>
      <c r="J100" s="729">
        <f>'Recycling - Case 2'!BJ110</f>
        <v>0</v>
      </c>
      <c r="K100" s="729">
        <f>'Recycling - Case 2'!BK110</f>
        <v>0.46502937717762582</v>
      </c>
      <c r="L100" s="730">
        <f t="shared" si="89"/>
        <v>1</v>
      </c>
      <c r="N100" s="740">
        <f t="shared" si="56"/>
        <v>2897.4481853098064</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0.1075072779707454</v>
      </c>
      <c r="Q100" s="734">
        <f t="shared" si="57"/>
        <v>155.74838373196658</v>
      </c>
      <c r="R100" s="734">
        <f t="shared" si="58"/>
        <v>155.74838373196658</v>
      </c>
      <c r="S100" s="737">
        <f t="shared" si="59"/>
        <v>0</v>
      </c>
      <c r="T100" s="734">
        <f t="shared" si="60"/>
        <v>9809.7087825108629</v>
      </c>
      <c r="U100" s="734">
        <f t="shared" si="61"/>
        <v>494.96913401611215</v>
      </c>
      <c r="V100" s="741">
        <f t="shared" si="62"/>
        <v>329.97942267740808</v>
      </c>
      <c r="X100" s="750">
        <f>'Recycling - Case 2'!AM150</f>
        <v>0</v>
      </c>
      <c r="Y100" s="751">
        <f>Parameters!S235</f>
        <v>0.71500000000000008</v>
      </c>
      <c r="Z100" s="751">
        <f t="shared" si="63"/>
        <v>0.4</v>
      </c>
      <c r="AA100" s="752">
        <f t="shared" si="64"/>
        <v>0</v>
      </c>
      <c r="AB100" s="752">
        <f t="shared" si="65"/>
        <v>0</v>
      </c>
      <c r="AC100" s="753">
        <f t="shared" si="66"/>
        <v>0</v>
      </c>
      <c r="AD100" s="752">
        <f t="shared" si="67"/>
        <v>5952.9675021901376</v>
      </c>
      <c r="AE100" s="752">
        <f t="shared" si="68"/>
        <v>305.21517052812959</v>
      </c>
      <c r="AF100" s="754">
        <f t="shared" si="69"/>
        <v>203.47678035208639</v>
      </c>
      <c r="AH100" s="750">
        <f>'Recycling - Case 2'!AM190</f>
        <v>0</v>
      </c>
      <c r="AI100" s="751">
        <f>Parameters!S235</f>
        <v>0.71500000000000008</v>
      </c>
      <c r="AJ100" s="751">
        <f t="shared" si="70"/>
        <v>0.4</v>
      </c>
      <c r="AK100" s="752">
        <f t="shared" si="71"/>
        <v>0</v>
      </c>
      <c r="AL100" s="752">
        <f t="shared" si="72"/>
        <v>0</v>
      </c>
      <c r="AM100" s="753">
        <f t="shared" si="73"/>
        <v>0</v>
      </c>
      <c r="AN100" s="752">
        <f t="shared" si="74"/>
        <v>5952.9675021901376</v>
      </c>
      <c r="AO100" s="752">
        <f t="shared" si="75"/>
        <v>305.21517052812959</v>
      </c>
      <c r="AP100" s="754">
        <f t="shared" si="76"/>
        <v>203.47678035208639</v>
      </c>
      <c r="AR100" s="901">
        <f>'Recycling - Case 2'!G110</f>
        <v>741.37639335418953</v>
      </c>
      <c r="AS100" s="902">
        <v>1</v>
      </c>
      <c r="AT100" s="902">
        <f t="shared" si="77"/>
        <v>0.05</v>
      </c>
      <c r="AU100" s="903">
        <f t="shared" si="78"/>
        <v>18.534409833854738</v>
      </c>
      <c r="AV100" s="903">
        <f t="shared" si="79"/>
        <v>18.534409833854738</v>
      </c>
      <c r="AW100" s="279">
        <f t="shared" si="80"/>
        <v>0</v>
      </c>
      <c r="AX100" s="903">
        <f t="shared" si="44"/>
        <v>215.19625696978889</v>
      </c>
      <c r="AY100" s="903">
        <f t="shared" si="49"/>
        <v>12.160889464117588</v>
      </c>
      <c r="AZ100" s="904">
        <f t="shared" si="47"/>
        <v>8.1072596427450581</v>
      </c>
      <c r="BB100" s="913">
        <f t="shared" si="81"/>
        <v>329.97942267740808</v>
      </c>
      <c r="BC100" s="914">
        <f t="shared" si="82"/>
        <v>203.47678035208639</v>
      </c>
      <c r="BD100" s="933">
        <f t="shared" si="90"/>
        <v>8.1072596427450581</v>
      </c>
      <c r="BE100" s="914">
        <f t="shared" si="54"/>
        <v>541.56346267223944</v>
      </c>
      <c r="BF100" s="145">
        <v>0</v>
      </c>
      <c r="BG100" s="927">
        <f t="shared" si="83"/>
        <v>541.56346267223944</v>
      </c>
      <c r="BI100" s="913">
        <f t="shared" si="84"/>
        <v>329.97942267740808</v>
      </c>
      <c r="BJ100" s="914">
        <f t="shared" si="85"/>
        <v>203.47678035208639</v>
      </c>
      <c r="BK100" s="933">
        <f t="shared" si="86"/>
        <v>8.1072596427450581</v>
      </c>
      <c r="BL100" s="914">
        <f t="shared" si="55"/>
        <v>541.56346267223944</v>
      </c>
      <c r="BM100" s="145">
        <v>0</v>
      </c>
      <c r="BN100" s="927">
        <f t="shared" si="87"/>
        <v>541.56346267223944</v>
      </c>
    </row>
    <row r="101" spans="1:66">
      <c r="A101" s="805">
        <f>'Input data'!A131</f>
        <v>2031</v>
      </c>
      <c r="B101" s="728">
        <f>'Input data'!B131</f>
        <v>66.518977190687664</v>
      </c>
      <c r="C101" s="728">
        <f>'Recycling - Case 2'!AK111/B101</f>
        <v>290.33093279482745</v>
      </c>
      <c r="D101" s="729">
        <f>'Recycling - Case 2'!AM111</f>
        <v>0.1327184478933309</v>
      </c>
      <c r="E101" s="729">
        <f>'Recycling - Case 2'!BE111</f>
        <v>0.21211281030749607</v>
      </c>
      <c r="F101" s="729">
        <f>'Recycling - Case 2'!BF111</f>
        <v>0.26901642775142459</v>
      </c>
      <c r="G101" s="729">
        <f>'Recycling - Case 2'!BG111</f>
        <v>5.525188586546504E-2</v>
      </c>
      <c r="H101" s="729">
        <f>'Recycling - Case 2'!BH111</f>
        <v>0</v>
      </c>
      <c r="I101" s="729">
        <f>'Recycling - Case 2'!BI111</f>
        <v>0</v>
      </c>
      <c r="J101" s="729">
        <f>'Recycling - Case 2'!BJ111</f>
        <v>0</v>
      </c>
      <c r="K101" s="729">
        <f>'Recycling - Case 2'!BK111</f>
        <v>0.46361887607561419</v>
      </c>
      <c r="L101" s="730">
        <f t="shared" si="89"/>
        <v>1</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0.10772096144259535</v>
      </c>
      <c r="Q101" s="734">
        <f t="shared" si="57"/>
        <v>138.05126534208725</v>
      </c>
      <c r="R101" s="734">
        <f t="shared" si="58"/>
        <v>138.05126534208725</v>
      </c>
      <c r="S101" s="737">
        <f t="shared" si="59"/>
        <v>0</v>
      </c>
      <c r="T101" s="734">
        <f t="shared" si="60"/>
        <v>9469.3349050494944</v>
      </c>
      <c r="U101" s="734">
        <f t="shared" si="61"/>
        <v>478.42514280345483</v>
      </c>
      <c r="V101" s="741">
        <f t="shared" si="62"/>
        <v>318.9500952023032</v>
      </c>
      <c r="X101" s="750">
        <f>'Recycling - Case 2'!AM151</f>
        <v>0</v>
      </c>
      <c r="Y101" s="751">
        <f>Parameters!S236</f>
        <v>0.71500000000000008</v>
      </c>
      <c r="Z101" s="751">
        <f t="shared" si="63"/>
        <v>0.4</v>
      </c>
      <c r="AA101" s="752">
        <f t="shared" si="64"/>
        <v>0</v>
      </c>
      <c r="AB101" s="752">
        <f t="shared" si="65"/>
        <v>0</v>
      </c>
      <c r="AC101" s="753">
        <f t="shared" si="66"/>
        <v>0</v>
      </c>
      <c r="AD101" s="752">
        <f t="shared" si="67"/>
        <v>5662.6378511797775</v>
      </c>
      <c r="AE101" s="752">
        <f t="shared" si="68"/>
        <v>290.32965101036001</v>
      </c>
      <c r="AF101" s="754">
        <f t="shared" si="69"/>
        <v>193.55310067357334</v>
      </c>
      <c r="AH101" s="750">
        <f>'Recycling - Case 2'!AM191</f>
        <v>0</v>
      </c>
      <c r="AI101" s="751">
        <f>Parameters!S236</f>
        <v>0.71500000000000008</v>
      </c>
      <c r="AJ101" s="751">
        <f t="shared" si="70"/>
        <v>0.4</v>
      </c>
      <c r="AK101" s="752">
        <f t="shared" si="71"/>
        <v>0</v>
      </c>
      <c r="AL101" s="752">
        <f t="shared" si="72"/>
        <v>0</v>
      </c>
      <c r="AM101" s="753">
        <f t="shared" si="73"/>
        <v>0</v>
      </c>
      <c r="AN101" s="752">
        <f t="shared" si="74"/>
        <v>5662.6378511797775</v>
      </c>
      <c r="AO101" s="752">
        <f t="shared" si="75"/>
        <v>290.32965101036001</v>
      </c>
      <c r="AP101" s="754">
        <f t="shared" si="76"/>
        <v>193.55310067357334</v>
      </c>
      <c r="AR101" s="901">
        <f>'Recycling - Case 2'!G111</f>
        <v>747.70350090858369</v>
      </c>
      <c r="AS101" s="902">
        <v>1</v>
      </c>
      <c r="AT101" s="902">
        <f t="shared" si="77"/>
        <v>0.05</v>
      </c>
      <c r="AU101" s="903">
        <f t="shared" si="78"/>
        <v>18.692587522714593</v>
      </c>
      <c r="AV101" s="903">
        <f t="shared" si="79"/>
        <v>18.692587522714593</v>
      </c>
      <c r="AW101" s="279">
        <f t="shared" si="80"/>
        <v>0</v>
      </c>
      <c r="AX101" s="903">
        <f t="shared" si="44"/>
        <v>221.35679009694397</v>
      </c>
      <c r="AY101" s="903">
        <f t="shared" si="49"/>
        <v>12.532054395559523</v>
      </c>
      <c r="AZ101" s="904">
        <f t="shared" si="47"/>
        <v>8.3547029303730156</v>
      </c>
      <c r="BB101" s="913">
        <f t="shared" si="81"/>
        <v>318.9500952023032</v>
      </c>
      <c r="BC101" s="914">
        <f t="shared" si="82"/>
        <v>193.55310067357334</v>
      </c>
      <c r="BD101" s="933">
        <f t="shared" si="90"/>
        <v>8.3547029303730156</v>
      </c>
      <c r="BE101" s="914">
        <f t="shared" si="54"/>
        <v>520.85789880624964</v>
      </c>
      <c r="BF101" s="145">
        <v>0</v>
      </c>
      <c r="BG101" s="927">
        <f t="shared" si="83"/>
        <v>520.85789880624964</v>
      </c>
      <c r="BI101" s="913">
        <f t="shared" si="84"/>
        <v>318.9500952023032</v>
      </c>
      <c r="BJ101" s="914">
        <f t="shared" si="85"/>
        <v>193.55310067357334</v>
      </c>
      <c r="BK101" s="933">
        <f t="shared" si="86"/>
        <v>8.3547029303730156</v>
      </c>
      <c r="BL101" s="914">
        <f t="shared" si="55"/>
        <v>520.85789880624964</v>
      </c>
      <c r="BM101" s="145">
        <v>0</v>
      </c>
      <c r="BN101" s="927">
        <f t="shared" si="87"/>
        <v>520.85789880624964</v>
      </c>
    </row>
    <row r="102" spans="1:66">
      <c r="A102" s="805">
        <f>'Input data'!A132</f>
        <v>2032</v>
      </c>
      <c r="B102" s="728">
        <f>'Input data'!B132</f>
        <v>67.08666821358311</v>
      </c>
      <c r="C102" s="728">
        <f>'Recycling - Case 2'!AK112/B102</f>
        <v>282.03003311800558</v>
      </c>
      <c r="D102" s="729">
        <f>'Recycling - Case 2'!AM112</f>
        <v>0.117798766784085</v>
      </c>
      <c r="E102" s="729">
        <f>'Recycling - Case 2'!BE112</f>
        <v>0.21279871307702919</v>
      </c>
      <c r="F102" s="729">
        <f>'Recycling - Case 2'!BF112</f>
        <v>0.26988633802500545</v>
      </c>
      <c r="G102" s="729">
        <f>'Recycling - Case 2'!BG112</f>
        <v>5.5086215315124989E-2</v>
      </c>
      <c r="H102" s="729">
        <f>'Recycling - Case 2'!BH112</f>
        <v>0</v>
      </c>
      <c r="I102" s="729">
        <f>'Recycling - Case 2'!BI112</f>
        <v>0</v>
      </c>
      <c r="J102" s="729">
        <f>'Recycling - Case 2'!BJ112</f>
        <v>0</v>
      </c>
      <c r="K102" s="729">
        <f>'Recycling - Case 2'!BK112</f>
        <v>0.46222873358284033</v>
      </c>
      <c r="L102" s="730">
        <f t="shared" si="89"/>
        <v>1</v>
      </c>
      <c r="N102" s="740">
        <f t="shared" si="56"/>
        <v>2228.8062963921589</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0.10793156069260547</v>
      </c>
      <c r="Q102" s="734">
        <f t="shared" si="57"/>
        <v>120.27927102555576</v>
      </c>
      <c r="R102" s="734">
        <f t="shared" si="58"/>
        <v>120.27927102555576</v>
      </c>
      <c r="S102" s="737">
        <f t="shared" si="59"/>
        <v>0</v>
      </c>
      <c r="T102" s="734">
        <f t="shared" si="60"/>
        <v>9127.7892631603099</v>
      </c>
      <c r="U102" s="734">
        <f t="shared" si="61"/>
        <v>461.82491291474042</v>
      </c>
      <c r="V102" s="741">
        <f t="shared" si="62"/>
        <v>307.88327527649363</v>
      </c>
      <c r="X102" s="750">
        <f>'Recycling - Case 2'!AM152</f>
        <v>0</v>
      </c>
      <c r="Y102" s="751">
        <f>Parameters!S237</f>
        <v>0.71500000000000008</v>
      </c>
      <c r="Z102" s="751">
        <f t="shared" si="63"/>
        <v>0.4</v>
      </c>
      <c r="AA102" s="752">
        <f t="shared" si="64"/>
        <v>0</v>
      </c>
      <c r="AB102" s="752">
        <f t="shared" si="65"/>
        <v>0</v>
      </c>
      <c r="AC102" s="753">
        <f t="shared" si="66"/>
        <v>0</v>
      </c>
      <c r="AD102" s="752">
        <f t="shared" si="67"/>
        <v>5386.4677443336996</v>
      </c>
      <c r="AE102" s="752">
        <f t="shared" si="68"/>
        <v>276.17010684607789</v>
      </c>
      <c r="AF102" s="754">
        <f t="shared" si="69"/>
        <v>184.11340456405193</v>
      </c>
      <c r="AH102" s="750">
        <f>'Recycling - Case 2'!AM192</f>
        <v>0</v>
      </c>
      <c r="AI102" s="751">
        <f>Parameters!S237</f>
        <v>0.71500000000000008</v>
      </c>
      <c r="AJ102" s="751">
        <f t="shared" si="70"/>
        <v>0.4</v>
      </c>
      <c r="AK102" s="752">
        <f t="shared" si="71"/>
        <v>0</v>
      </c>
      <c r="AL102" s="752">
        <f t="shared" si="72"/>
        <v>0</v>
      </c>
      <c r="AM102" s="753">
        <f t="shared" si="73"/>
        <v>0</v>
      </c>
      <c r="AN102" s="752">
        <f t="shared" si="74"/>
        <v>5386.4677443336996</v>
      </c>
      <c r="AO102" s="752">
        <f t="shared" si="75"/>
        <v>276.17010684607789</v>
      </c>
      <c r="AP102" s="754">
        <f t="shared" si="76"/>
        <v>184.11340456405193</v>
      </c>
      <c r="AR102" s="901">
        <f>'Recycling - Case 2'!G112</f>
        <v>754.08460571776459</v>
      </c>
      <c r="AS102" s="902">
        <v>1</v>
      </c>
      <c r="AT102" s="902">
        <f t="shared" si="77"/>
        <v>0.05</v>
      </c>
      <c r="AU102" s="903">
        <f t="shared" si="78"/>
        <v>18.852115142944115</v>
      </c>
      <c r="AV102" s="903">
        <f t="shared" si="79"/>
        <v>18.852115142944115</v>
      </c>
      <c r="AW102" s="279">
        <f t="shared" si="80"/>
        <v>0</v>
      </c>
      <c r="AX102" s="903">
        <f t="shared" si="44"/>
        <v>227.318089324299</v>
      </c>
      <c r="AY102" s="903">
        <f t="shared" si="49"/>
        <v>12.890815915589085</v>
      </c>
      <c r="AZ102" s="904">
        <f t="shared" si="47"/>
        <v>8.5938772770593896</v>
      </c>
      <c r="BB102" s="913">
        <f t="shared" si="81"/>
        <v>307.88327527649363</v>
      </c>
      <c r="BC102" s="914">
        <f t="shared" si="82"/>
        <v>184.11340456405193</v>
      </c>
      <c r="BD102" s="933">
        <f t="shared" si="90"/>
        <v>8.5938772770593896</v>
      </c>
      <c r="BE102" s="914">
        <f t="shared" si="54"/>
        <v>500.59055711760493</v>
      </c>
      <c r="BF102" s="145">
        <v>0</v>
      </c>
      <c r="BG102" s="927">
        <f t="shared" si="83"/>
        <v>500.59055711760493</v>
      </c>
      <c r="BI102" s="913">
        <f t="shared" si="84"/>
        <v>307.88327527649363</v>
      </c>
      <c r="BJ102" s="914">
        <f t="shared" si="85"/>
        <v>184.11340456405193</v>
      </c>
      <c r="BK102" s="933">
        <f t="shared" si="86"/>
        <v>8.5938772770593896</v>
      </c>
      <c r="BL102" s="914">
        <f t="shared" si="55"/>
        <v>500.59055711760493</v>
      </c>
      <c r="BM102" s="145">
        <v>0</v>
      </c>
      <c r="BN102" s="927">
        <f t="shared" si="87"/>
        <v>500.59055711760493</v>
      </c>
    </row>
    <row r="103" spans="1:66">
      <c r="A103" s="805">
        <f>'Input data'!A133</f>
        <v>2033</v>
      </c>
      <c r="B103" s="728">
        <f>'Input data'!B133</f>
        <v>67.659204065895452</v>
      </c>
      <c r="C103" s="728">
        <f>'Recycling - Case 2'!AK113/B103</f>
        <v>280.78520384759781</v>
      </c>
      <c r="D103" s="729">
        <f>'Recycling - Case 2'!AM113</f>
        <v>0.11731977538457024</v>
      </c>
      <c r="E103" s="729">
        <f>'Recycling - Case 2'!BE113</f>
        <v>0.21347476249844466</v>
      </c>
      <c r="F103" s="729">
        <f>'Recycling - Case 2'!BF113</f>
        <v>0.27074375158748171</v>
      </c>
      <c r="G103" s="729">
        <f>'Recycling - Case 2'!BG113</f>
        <v>5.492292470794579E-2</v>
      </c>
      <c r="H103" s="729">
        <f>'Recycling - Case 2'!BH113</f>
        <v>0</v>
      </c>
      <c r="I103" s="729">
        <f>'Recycling - Case 2'!BI113</f>
        <v>0</v>
      </c>
      <c r="J103" s="729">
        <f>'Recycling - Case 2'!BJ113</f>
        <v>0</v>
      </c>
      <c r="K103" s="729">
        <f>'Recycling - Case 2'!BK113</f>
        <v>0.46085856120612789</v>
      </c>
      <c r="L103" s="730">
        <f t="shared" si="89"/>
        <v>1</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0.10813913457544136</v>
      </c>
      <c r="Q103" s="734">
        <f t="shared" si="57"/>
        <v>120.51059201407134</v>
      </c>
      <c r="R103" s="734">
        <f t="shared" si="58"/>
        <v>120.51059201407134</v>
      </c>
      <c r="S103" s="737">
        <f t="shared" si="59"/>
        <v>0</v>
      </c>
      <c r="T103" s="734">
        <f t="shared" si="60"/>
        <v>8803.1323197738493</v>
      </c>
      <c r="U103" s="734">
        <f t="shared" si="61"/>
        <v>445.1675354005319</v>
      </c>
      <c r="V103" s="741">
        <f t="shared" si="62"/>
        <v>296.77835693368792</v>
      </c>
      <c r="X103" s="750">
        <f>'Recycling - Case 2'!AM153</f>
        <v>0</v>
      </c>
      <c r="Y103" s="751">
        <f>Parameters!S238</f>
        <v>0.71500000000000008</v>
      </c>
      <c r="Z103" s="751">
        <f t="shared" si="63"/>
        <v>0.4</v>
      </c>
      <c r="AA103" s="752">
        <f t="shared" si="64"/>
        <v>0</v>
      </c>
      <c r="AB103" s="752">
        <f t="shared" si="65"/>
        <v>0</v>
      </c>
      <c r="AC103" s="753">
        <f t="shared" si="66"/>
        <v>0</v>
      </c>
      <c r="AD103" s="752">
        <f t="shared" si="67"/>
        <v>5123.7666125342039</v>
      </c>
      <c r="AE103" s="752">
        <f t="shared" si="68"/>
        <v>262.70113179949539</v>
      </c>
      <c r="AF103" s="754">
        <f t="shared" si="69"/>
        <v>175.13408786633025</v>
      </c>
      <c r="AH103" s="750">
        <f>'Recycling - Case 2'!AM193</f>
        <v>0</v>
      </c>
      <c r="AI103" s="751">
        <f>Parameters!S238</f>
        <v>0.71500000000000008</v>
      </c>
      <c r="AJ103" s="751">
        <f t="shared" si="70"/>
        <v>0.4</v>
      </c>
      <c r="AK103" s="752">
        <f t="shared" si="71"/>
        <v>0</v>
      </c>
      <c r="AL103" s="752">
        <f t="shared" si="72"/>
        <v>0</v>
      </c>
      <c r="AM103" s="753">
        <f t="shared" si="73"/>
        <v>0</v>
      </c>
      <c r="AN103" s="752">
        <f t="shared" si="74"/>
        <v>5123.7666125342039</v>
      </c>
      <c r="AO103" s="752">
        <f t="shared" si="75"/>
        <v>262.70113179949539</v>
      </c>
      <c r="AP103" s="754">
        <f t="shared" si="76"/>
        <v>175.13408786633025</v>
      </c>
      <c r="AR103" s="901">
        <f>'Recycling - Case 2'!G113</f>
        <v>760.52016860897436</v>
      </c>
      <c r="AS103" s="902">
        <v>1</v>
      </c>
      <c r="AT103" s="902">
        <f t="shared" si="77"/>
        <v>0.05</v>
      </c>
      <c r="AU103" s="903">
        <f t="shared" si="78"/>
        <v>19.01300421522436</v>
      </c>
      <c r="AV103" s="903">
        <f t="shared" si="79"/>
        <v>19.01300421522436</v>
      </c>
      <c r="AW103" s="279">
        <f t="shared" si="80"/>
        <v>0</v>
      </c>
      <c r="AX103" s="903">
        <f t="shared" si="44"/>
        <v>233.0931185829854</v>
      </c>
      <c r="AY103" s="903">
        <f t="shared" si="49"/>
        <v>13.237974956537963</v>
      </c>
      <c r="AZ103" s="904">
        <f t="shared" si="47"/>
        <v>8.8253166376919747</v>
      </c>
      <c r="BB103" s="913">
        <f t="shared" si="81"/>
        <v>296.77835693368792</v>
      </c>
      <c r="BC103" s="914">
        <f t="shared" si="82"/>
        <v>175.13408786633025</v>
      </c>
      <c r="BD103" s="933">
        <f t="shared" si="90"/>
        <v>8.8253166376919747</v>
      </c>
      <c r="BE103" s="914">
        <f t="shared" si="54"/>
        <v>480.73776143771016</v>
      </c>
      <c r="BF103" s="145">
        <v>0</v>
      </c>
      <c r="BG103" s="927">
        <f t="shared" si="83"/>
        <v>480.73776143771016</v>
      </c>
      <c r="BI103" s="913">
        <f t="shared" si="84"/>
        <v>296.77835693368792</v>
      </c>
      <c r="BJ103" s="914">
        <f t="shared" si="85"/>
        <v>175.13408786633025</v>
      </c>
      <c r="BK103" s="933">
        <f t="shared" si="86"/>
        <v>8.8253166376919747</v>
      </c>
      <c r="BL103" s="914">
        <f t="shared" si="55"/>
        <v>480.73776143771016</v>
      </c>
      <c r="BM103" s="145">
        <v>0</v>
      </c>
      <c r="BN103" s="927">
        <f t="shared" si="87"/>
        <v>480.73776143771016</v>
      </c>
    </row>
    <row r="104" spans="1:66">
      <c r="A104" s="805">
        <f>'Input data'!A134</f>
        <v>2034</v>
      </c>
      <c r="B104" s="728">
        <f>'Input data'!B134</f>
        <v>68.236626094715163</v>
      </c>
      <c r="C104" s="728">
        <f>'Recycling - Case 2'!AK114/B104</f>
        <v>279.5517936159477</v>
      </c>
      <c r="D104" s="729">
        <f>'Recycling - Case 2'!AM114</f>
        <v>0.11684025538406186</v>
      </c>
      <c r="E104" s="729">
        <f>'Recycling - Case 2'!BE114</f>
        <v>0.21414114548957475</v>
      </c>
      <c r="F104" s="729">
        <f>'Recycling - Case 2'!BF114</f>
        <v>0.27158890550123271</v>
      </c>
      <c r="G104" s="729">
        <f>'Recycling - Case 2'!BG114</f>
        <v>5.4761968896449478E-2</v>
      </c>
      <c r="H104" s="729">
        <f>'Recycling - Case 2'!BH114</f>
        <v>0</v>
      </c>
      <c r="I104" s="729">
        <f>'Recycling - Case 2'!BI114</f>
        <v>0</v>
      </c>
      <c r="J104" s="729">
        <f>'Recycling - Case 2'!BJ114</f>
        <v>0</v>
      </c>
      <c r="K104" s="729">
        <f>'Recycling - Case 2'!BK114</f>
        <v>0.45950798011274291</v>
      </c>
      <c r="L104" s="730">
        <f t="shared" si="89"/>
        <v>0.99999999999999978</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2'!AM154</f>
        <v>0</v>
      </c>
      <c r="Y104" s="751">
        <f>Parameters!S239</f>
        <v>0.71500000000000008</v>
      </c>
      <c r="Z104" s="751">
        <f t="shared" si="63"/>
        <v>0.4</v>
      </c>
      <c r="AA104" s="752">
        <f t="shared" si="64"/>
        <v>0</v>
      </c>
      <c r="AB104" s="752">
        <f t="shared" si="65"/>
        <v>0</v>
      </c>
      <c r="AC104" s="753">
        <f t="shared" si="66"/>
        <v>0</v>
      </c>
      <c r="AD104" s="752">
        <f t="shared" si="67"/>
        <v>4873.8775661168838</v>
      </c>
      <c r="AE104" s="752">
        <f t="shared" si="68"/>
        <v>249.88904641732017</v>
      </c>
      <c r="AF104" s="754">
        <f t="shared" si="69"/>
        <v>166.59269761154678</v>
      </c>
      <c r="AH104" s="750">
        <f>'Recycling - Case 2'!AM194</f>
        <v>0</v>
      </c>
      <c r="AI104" s="751">
        <f>Parameters!S239</f>
        <v>0.71500000000000008</v>
      </c>
      <c r="AJ104" s="751">
        <f t="shared" si="70"/>
        <v>0.4</v>
      </c>
      <c r="AK104" s="752">
        <f t="shared" si="71"/>
        <v>0</v>
      </c>
      <c r="AL104" s="752">
        <f t="shared" si="72"/>
        <v>0</v>
      </c>
      <c r="AM104" s="753">
        <f t="shared" si="73"/>
        <v>0</v>
      </c>
      <c r="AN104" s="752">
        <f t="shared" si="74"/>
        <v>4873.8775661168838</v>
      </c>
      <c r="AO104" s="752">
        <f t="shared" si="75"/>
        <v>249.88904641732017</v>
      </c>
      <c r="AP104" s="754">
        <f t="shared" si="76"/>
        <v>166.59269761154678</v>
      </c>
      <c r="AR104" s="901">
        <f>'Recycling - Case 2'!G114</f>
        <v>767.01065434227985</v>
      </c>
      <c r="AS104" s="902">
        <v>1</v>
      </c>
      <c r="AT104" s="902">
        <f t="shared" si="77"/>
        <v>0.05</v>
      </c>
      <c r="AU104" s="903">
        <f t="shared" si="78"/>
        <v>19.175266358556996</v>
      </c>
      <c r="AV104" s="903">
        <f t="shared" si="79"/>
        <v>19.175266358556996</v>
      </c>
      <c r="AW104" s="279">
        <f t="shared" si="80"/>
        <v>0</v>
      </c>
      <c r="AX104" s="903">
        <f t="shared" si="44"/>
        <v>238.69409846256022</v>
      </c>
      <c r="AY104" s="903">
        <f t="shared" si="49"/>
        <v>13.574286478982177</v>
      </c>
      <c r="AZ104" s="904">
        <f t="shared" si="47"/>
        <v>9.049524319321451</v>
      </c>
      <c r="BB104" s="913">
        <f t="shared" si="81"/>
        <v>286.22255295449003</v>
      </c>
      <c r="BC104" s="914">
        <f t="shared" si="82"/>
        <v>166.59269761154678</v>
      </c>
      <c r="BD104" s="933">
        <f t="shared" si="90"/>
        <v>9.049524319321451</v>
      </c>
      <c r="BE104" s="914">
        <f t="shared" si="54"/>
        <v>461.86477488535826</v>
      </c>
      <c r="BF104" s="145">
        <v>0</v>
      </c>
      <c r="BG104" s="927">
        <f t="shared" si="83"/>
        <v>461.86477488535826</v>
      </c>
      <c r="BI104" s="913">
        <f t="shared" si="84"/>
        <v>286.22255295449003</v>
      </c>
      <c r="BJ104" s="914">
        <f t="shared" si="85"/>
        <v>166.59269761154678</v>
      </c>
      <c r="BK104" s="933">
        <f t="shared" si="86"/>
        <v>9.049524319321451</v>
      </c>
      <c r="BL104" s="914">
        <f t="shared" si="55"/>
        <v>461.86477488535826</v>
      </c>
      <c r="BM104" s="145">
        <v>0</v>
      </c>
      <c r="BN104" s="927">
        <f t="shared" si="87"/>
        <v>461.86477488535826</v>
      </c>
    </row>
    <row r="105" spans="1:66">
      <c r="A105" s="805">
        <f>'Input data'!A135</f>
        <v>2035</v>
      </c>
      <c r="B105" s="728">
        <f>'Input data'!B135</f>
        <v>68.818976000000006</v>
      </c>
      <c r="C105" s="728">
        <f>'Recycling - Case 2'!AK115/B105</f>
        <v>278.32968324673374</v>
      </c>
      <c r="D105" s="729">
        <f>'Recycling - Case 2'!AM115</f>
        <v>0.11636023627094678</v>
      </c>
      <c r="E105" s="729">
        <f>'Recycling - Case 2'!BE115</f>
        <v>0.21479804434918434</v>
      </c>
      <c r="F105" s="729">
        <f>'Recycling - Case 2'!BF115</f>
        <v>0.27242203097041112</v>
      </c>
      <c r="G105" s="729">
        <f>'Recycling - Case 2'!BG115</f>
        <v>5.4603303848831559E-2</v>
      </c>
      <c r="H105" s="729">
        <f>'Recycling - Case 2'!BH115</f>
        <v>0</v>
      </c>
      <c r="I105" s="729">
        <f>'Recycling - Case 2'!BI115</f>
        <v>0</v>
      </c>
      <c r="J105" s="729">
        <f>'Recycling - Case 2'!BJ115</f>
        <v>0</v>
      </c>
      <c r="K105" s="729">
        <f>'Recycling - Case 2'!BK115</f>
        <v>0.45817662083157323</v>
      </c>
      <c r="L105" s="730">
        <f t="shared" si="89"/>
        <v>1.0000000000000002</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2'!AM155</f>
        <v>0</v>
      </c>
      <c r="Y105" s="751">
        <f>Parameters!S240</f>
        <v>0.71500000000000008</v>
      </c>
      <c r="Z105" s="751">
        <f t="shared" si="63"/>
        <v>0.4</v>
      </c>
      <c r="AA105" s="752">
        <f t="shared" si="64"/>
        <v>0</v>
      </c>
      <c r="AB105" s="752">
        <f t="shared" si="65"/>
        <v>0</v>
      </c>
      <c r="AC105" s="753">
        <f t="shared" si="66"/>
        <v>0</v>
      </c>
      <c r="AD105" s="752">
        <f t="shared" si="67"/>
        <v>4636.1757523043043</v>
      </c>
      <c r="AE105" s="752">
        <f t="shared" si="68"/>
        <v>237.7018138125797</v>
      </c>
      <c r="AF105" s="754">
        <f t="shared" si="69"/>
        <v>158.46787587505312</v>
      </c>
      <c r="AH105" s="750">
        <f>'Recycling - Case 2'!AM195</f>
        <v>0</v>
      </c>
      <c r="AI105" s="751">
        <f>Parameters!S240</f>
        <v>0.71500000000000008</v>
      </c>
      <c r="AJ105" s="751">
        <f t="shared" si="70"/>
        <v>0.4</v>
      </c>
      <c r="AK105" s="752">
        <f t="shared" si="71"/>
        <v>0</v>
      </c>
      <c r="AL105" s="752">
        <f t="shared" si="72"/>
        <v>0</v>
      </c>
      <c r="AM105" s="753">
        <f t="shared" si="73"/>
        <v>0</v>
      </c>
      <c r="AN105" s="752">
        <f t="shared" si="74"/>
        <v>4636.1757523043043</v>
      </c>
      <c r="AO105" s="752">
        <f t="shared" si="75"/>
        <v>237.7018138125797</v>
      </c>
      <c r="AP105" s="754">
        <f t="shared" si="76"/>
        <v>158.46787587505312</v>
      </c>
      <c r="AR105" s="901">
        <f>'Recycling - Case 2'!G115</f>
        <v>773.55653164413684</v>
      </c>
      <c r="AS105" s="902">
        <v>1</v>
      </c>
      <c r="AT105" s="902">
        <f t="shared" si="77"/>
        <v>0.05</v>
      </c>
      <c r="AU105" s="903">
        <f t="shared" si="78"/>
        <v>19.338913291103424</v>
      </c>
      <c r="AV105" s="903">
        <f t="shared" si="79"/>
        <v>19.338913291103424</v>
      </c>
      <c r="AW105" s="279">
        <f t="shared" si="80"/>
        <v>0</v>
      </c>
      <c r="AX105" s="903">
        <f t="shared" si="44"/>
        <v>244.13254959900917</v>
      </c>
      <c r="AY105" s="903">
        <f t="shared" si="49"/>
        <v>13.900462154654456</v>
      </c>
      <c r="AZ105" s="904">
        <f t="shared" si="47"/>
        <v>9.2669747697696376</v>
      </c>
      <c r="BB105" s="913">
        <f t="shared" si="81"/>
        <v>276.1889751755437</v>
      </c>
      <c r="BC105" s="914">
        <f t="shared" si="82"/>
        <v>158.46787587505312</v>
      </c>
      <c r="BD105" s="933">
        <f t="shared" si="90"/>
        <v>9.2669747697696376</v>
      </c>
      <c r="BE105" s="914">
        <f t="shared" si="54"/>
        <v>443.92382582036652</v>
      </c>
      <c r="BF105" s="145">
        <v>0</v>
      </c>
      <c r="BG105" s="927">
        <f t="shared" si="83"/>
        <v>443.92382582036652</v>
      </c>
      <c r="BI105" s="913">
        <f t="shared" si="84"/>
        <v>276.1889751755437</v>
      </c>
      <c r="BJ105" s="914">
        <f t="shared" si="85"/>
        <v>158.46787587505312</v>
      </c>
      <c r="BK105" s="933">
        <f t="shared" si="86"/>
        <v>9.2669747697696376</v>
      </c>
      <c r="BL105" s="914">
        <f t="shared" si="55"/>
        <v>443.92382582036652</v>
      </c>
      <c r="BM105" s="145">
        <v>0</v>
      </c>
      <c r="BN105" s="927">
        <f t="shared" si="87"/>
        <v>443.92382582036652</v>
      </c>
    </row>
    <row r="106" spans="1:66">
      <c r="A106" s="805">
        <f>'Input data'!A136</f>
        <v>2036</v>
      </c>
      <c r="B106" s="728">
        <f>'Input data'!B136</f>
        <v>69.322810489383542</v>
      </c>
      <c r="C106" s="728">
        <f>'Recycling - Case 2'!AK116/B106</f>
        <v>277.28958269275716</v>
      </c>
      <c r="D106" s="729">
        <f>'Recycling - Case 2'!AM116</f>
        <v>0.11594782602683691</v>
      </c>
      <c r="E106" s="729">
        <f>'Recycling - Case 2'!BE116</f>
        <v>0.21535447797222657</v>
      </c>
      <c r="F106" s="729">
        <f>'Recycling - Case 2'!BF116</f>
        <v>0.27312773934009704</v>
      </c>
      <c r="G106" s="729">
        <f>'Recycling - Case 2'!BG116</f>
        <v>5.4468904822246644E-2</v>
      </c>
      <c r="H106" s="729">
        <f>'Recycling - Case 2'!BH116</f>
        <v>0</v>
      </c>
      <c r="I106" s="729">
        <f>'Recycling - Case 2'!BI116</f>
        <v>0</v>
      </c>
      <c r="J106" s="729">
        <f>'Recycling - Case 2'!BJ116</f>
        <v>0</v>
      </c>
      <c r="K106" s="729">
        <f>'Recycling - Case 2'!BK116</f>
        <v>0.45704887786542953</v>
      </c>
      <c r="L106" s="730">
        <f t="shared" si="89"/>
        <v>0.99999999999999978</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2'!AM156</f>
        <v>0</v>
      </c>
      <c r="Y106" s="751">
        <f>Parameters!S241</f>
        <v>0.71500000000000008</v>
      </c>
      <c r="Z106" s="751">
        <f t="shared" si="63"/>
        <v>0.4</v>
      </c>
      <c r="AA106" s="752">
        <f t="shared" si="64"/>
        <v>0</v>
      </c>
      <c r="AB106" s="752">
        <f t="shared" si="65"/>
        <v>0</v>
      </c>
      <c r="AC106" s="753">
        <f t="shared" si="66"/>
        <v>0</v>
      </c>
      <c r="AD106" s="752">
        <f t="shared" si="67"/>
        <v>4410.0667927485883</v>
      </c>
      <c r="AE106" s="752">
        <f t="shared" si="68"/>
        <v>226.10895955571607</v>
      </c>
      <c r="AF106" s="754">
        <f t="shared" si="69"/>
        <v>150.73930637047738</v>
      </c>
      <c r="AH106" s="750">
        <f>'Recycling - Case 2'!AM196</f>
        <v>0</v>
      </c>
      <c r="AI106" s="751">
        <f>Parameters!S241</f>
        <v>0.71500000000000008</v>
      </c>
      <c r="AJ106" s="751">
        <f t="shared" si="70"/>
        <v>0.4</v>
      </c>
      <c r="AK106" s="752">
        <f t="shared" si="71"/>
        <v>0</v>
      </c>
      <c r="AL106" s="752">
        <f t="shared" si="72"/>
        <v>0</v>
      </c>
      <c r="AM106" s="753">
        <f t="shared" si="73"/>
        <v>0</v>
      </c>
      <c r="AN106" s="752">
        <f t="shared" si="74"/>
        <v>4410.0667927485883</v>
      </c>
      <c r="AO106" s="752">
        <f t="shared" si="75"/>
        <v>226.10895955571607</v>
      </c>
      <c r="AP106" s="754">
        <f t="shared" si="76"/>
        <v>150.73930637047738</v>
      </c>
      <c r="AR106" s="901">
        <f>'Recycling - Case 2'!G116</f>
        <v>779.21986002801486</v>
      </c>
      <c r="AS106" s="902">
        <v>1</v>
      </c>
      <c r="AT106" s="902">
        <f t="shared" si="77"/>
        <v>0.05</v>
      </c>
      <c r="AU106" s="903">
        <f t="shared" si="78"/>
        <v>19.480496500700372</v>
      </c>
      <c r="AV106" s="903">
        <f t="shared" si="79"/>
        <v>19.480496500700372</v>
      </c>
      <c r="AW106" s="279">
        <f t="shared" si="80"/>
        <v>0</v>
      </c>
      <c r="AX106" s="903">
        <f t="shared" si="44"/>
        <v>249.39587320654471</v>
      </c>
      <c r="AY106" s="903">
        <f t="shared" si="49"/>
        <v>14.217172893164832</v>
      </c>
      <c r="AZ106" s="904">
        <f t="shared" si="47"/>
        <v>9.4781152621098883</v>
      </c>
      <c r="BB106" s="913">
        <f t="shared" si="81"/>
        <v>266.65204881278231</v>
      </c>
      <c r="BC106" s="914">
        <f t="shared" si="82"/>
        <v>150.73930637047738</v>
      </c>
      <c r="BD106" s="933">
        <f t="shared" si="90"/>
        <v>9.4781152621098883</v>
      </c>
      <c r="BE106" s="914">
        <f t="shared" si="54"/>
        <v>426.86947044536959</v>
      </c>
      <c r="BF106" s="145">
        <v>0</v>
      </c>
      <c r="BG106" s="927">
        <f t="shared" si="83"/>
        <v>426.86947044536959</v>
      </c>
      <c r="BI106" s="913">
        <f t="shared" si="84"/>
        <v>266.65204881278231</v>
      </c>
      <c r="BJ106" s="914">
        <f t="shared" si="85"/>
        <v>150.73930637047738</v>
      </c>
      <c r="BK106" s="933">
        <f t="shared" si="86"/>
        <v>9.4781152621098883</v>
      </c>
      <c r="BL106" s="914">
        <f t="shared" si="55"/>
        <v>426.86947044536959</v>
      </c>
      <c r="BM106" s="145">
        <v>0</v>
      </c>
      <c r="BN106" s="927">
        <f t="shared" si="87"/>
        <v>426.86947044536959</v>
      </c>
    </row>
    <row r="107" spans="1:66">
      <c r="A107" s="805">
        <f>'Input data'!A137</f>
        <v>2037</v>
      </c>
      <c r="B107" s="728">
        <f>'Input data'!B137</f>
        <v>69.830333629884052</v>
      </c>
      <c r="C107" s="728">
        <f>'Recycling - Case 2'!AK117/B107</f>
        <v>276.25764791535482</v>
      </c>
      <c r="D107" s="729">
        <f>'Recycling - Case 2'!AM117</f>
        <v>0.11553508790560191</v>
      </c>
      <c r="E107" s="729">
        <f>'Recycling - Case 2'!BE117</f>
        <v>0.21590416467961743</v>
      </c>
      <c r="F107" s="729">
        <f>'Recycling - Case 2'!BF117</f>
        <v>0.27382489079544936</v>
      </c>
      <c r="G107" s="729">
        <f>'Recycling - Case 2'!BG117</f>
        <v>5.4336135422015146E-2</v>
      </c>
      <c r="H107" s="729">
        <f>'Recycling - Case 2'!BH117</f>
        <v>0</v>
      </c>
      <c r="I107" s="729">
        <f>'Recycling - Case 2'!BI117</f>
        <v>0</v>
      </c>
      <c r="J107" s="729">
        <f>'Recycling - Case 2'!BJ117</f>
        <v>0</v>
      </c>
      <c r="K107" s="729">
        <f>'Recycling - Case 2'!BK117</f>
        <v>0.45593480910291823</v>
      </c>
      <c r="L107" s="730">
        <f t="shared" si="89"/>
        <v>1.0000000000000002</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2'!AM157</f>
        <v>0</v>
      </c>
      <c r="Y107" s="751">
        <f>Parameters!S242</f>
        <v>0.71500000000000008</v>
      </c>
      <c r="Z107" s="751">
        <f t="shared" si="63"/>
        <v>0.4</v>
      </c>
      <c r="AA107" s="752">
        <f t="shared" si="64"/>
        <v>0</v>
      </c>
      <c r="AB107" s="752">
        <f t="shared" si="65"/>
        <v>0</v>
      </c>
      <c r="AC107" s="753">
        <f t="shared" si="66"/>
        <v>0</v>
      </c>
      <c r="AD107" s="752">
        <f t="shared" si="67"/>
        <v>4194.9852972759491</v>
      </c>
      <c r="AE107" s="752">
        <f t="shared" si="68"/>
        <v>215.08149547263903</v>
      </c>
      <c r="AF107" s="754">
        <f t="shared" si="69"/>
        <v>143.38766364842601</v>
      </c>
      <c r="AH107" s="750">
        <f>'Recycling - Case 2'!AM197</f>
        <v>0</v>
      </c>
      <c r="AI107" s="751">
        <f>Parameters!S242</f>
        <v>0.71500000000000008</v>
      </c>
      <c r="AJ107" s="751">
        <f t="shared" si="70"/>
        <v>0.4</v>
      </c>
      <c r="AK107" s="752">
        <f t="shared" si="71"/>
        <v>0</v>
      </c>
      <c r="AL107" s="752">
        <f t="shared" si="72"/>
        <v>0</v>
      </c>
      <c r="AM107" s="753">
        <f t="shared" si="73"/>
        <v>0</v>
      </c>
      <c r="AN107" s="752">
        <f t="shared" si="74"/>
        <v>4194.9852972759491</v>
      </c>
      <c r="AO107" s="752">
        <f t="shared" si="75"/>
        <v>215.08149547263903</v>
      </c>
      <c r="AP107" s="754">
        <f t="shared" si="76"/>
        <v>143.38766364842601</v>
      </c>
      <c r="AR107" s="901">
        <f>'Recycling - Case 2'!G117</f>
        <v>784.92465052496607</v>
      </c>
      <c r="AS107" s="902">
        <v>1</v>
      </c>
      <c r="AT107" s="902">
        <f t="shared" si="77"/>
        <v>0.05</v>
      </c>
      <c r="AU107" s="903">
        <f t="shared" si="78"/>
        <v>19.623116263124153</v>
      </c>
      <c r="AV107" s="903">
        <f t="shared" si="79"/>
        <v>19.623116263124153</v>
      </c>
      <c r="AW107" s="279">
        <f t="shared" si="80"/>
        <v>0</v>
      </c>
      <c r="AX107" s="903">
        <f t="shared" si="44"/>
        <v>254.49530447132216</v>
      </c>
      <c r="AY107" s="903">
        <f t="shared" si="49"/>
        <v>14.523684998346699</v>
      </c>
      <c r="AZ107" s="904">
        <f t="shared" si="47"/>
        <v>9.6824566655644659</v>
      </c>
      <c r="BB107" s="913">
        <f t="shared" si="81"/>
        <v>257.58643420683467</v>
      </c>
      <c r="BC107" s="914">
        <f t="shared" si="82"/>
        <v>143.38766364842601</v>
      </c>
      <c r="BD107" s="933">
        <f t="shared" si="90"/>
        <v>9.6824566655644659</v>
      </c>
      <c r="BE107" s="914">
        <f t="shared" si="54"/>
        <v>410.65655452082513</v>
      </c>
      <c r="BF107" s="145">
        <v>0</v>
      </c>
      <c r="BG107" s="927">
        <f t="shared" si="83"/>
        <v>410.65655452082513</v>
      </c>
      <c r="BI107" s="913">
        <f t="shared" si="84"/>
        <v>257.58643420683467</v>
      </c>
      <c r="BJ107" s="914">
        <f t="shared" si="85"/>
        <v>143.38766364842601</v>
      </c>
      <c r="BK107" s="933">
        <f t="shared" si="86"/>
        <v>9.6824566655644659</v>
      </c>
      <c r="BL107" s="914">
        <f t="shared" si="55"/>
        <v>410.65655452082513</v>
      </c>
      <c r="BM107" s="145">
        <v>0</v>
      </c>
      <c r="BN107" s="927">
        <f t="shared" si="87"/>
        <v>410.65655452082513</v>
      </c>
    </row>
    <row r="108" spans="1:66">
      <c r="A108" s="805">
        <f>'Input data'!A138</f>
        <v>2038</v>
      </c>
      <c r="B108" s="728">
        <f>'Input data'!B138</f>
        <v>70.341572426693446</v>
      </c>
      <c r="C108" s="728">
        <f>'Recycling - Case 2'!AK118/B108</f>
        <v>275.23380642431778</v>
      </c>
      <c r="D108" s="729">
        <f>'Recycling - Case 2'!AM118</f>
        <v>0.11512204010082239</v>
      </c>
      <c r="E108" s="729">
        <f>'Recycling - Case 2'!BE118</f>
        <v>0.21644721208362872</v>
      </c>
      <c r="F108" s="729">
        <f>'Recycling - Case 2'!BF118</f>
        <v>0.27451362181794159</v>
      </c>
      <c r="G108" s="729">
        <f>'Recycling - Case 2'!BG118</f>
        <v>5.4204969655846105E-2</v>
      </c>
      <c r="H108" s="729">
        <f>'Recycling - Case 2'!BH118</f>
        <v>0</v>
      </c>
      <c r="I108" s="729">
        <f>'Recycling - Case 2'!BI118</f>
        <v>0</v>
      </c>
      <c r="J108" s="729">
        <f>'Recycling - Case 2'!BJ118</f>
        <v>0</v>
      </c>
      <c r="K108" s="729">
        <f>'Recycling - Case 2'!BK118</f>
        <v>0.45483419644258377</v>
      </c>
      <c r="L108" s="730">
        <f t="shared" si="89"/>
        <v>1.0000000000000002</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2'!AM158</f>
        <v>0</v>
      </c>
      <c r="Y108" s="751">
        <f>Parameters!S243</f>
        <v>0.71500000000000008</v>
      </c>
      <c r="Z108" s="751">
        <f t="shared" si="63"/>
        <v>0.4</v>
      </c>
      <c r="AA108" s="752">
        <f t="shared" si="64"/>
        <v>0</v>
      </c>
      <c r="AB108" s="752">
        <f t="shared" si="65"/>
        <v>0</v>
      </c>
      <c r="AC108" s="753">
        <f t="shared" si="66"/>
        <v>0</v>
      </c>
      <c r="AD108" s="752">
        <f t="shared" si="67"/>
        <v>3990.3934501167578</v>
      </c>
      <c r="AE108" s="752">
        <f t="shared" si="68"/>
        <v>204.59184715919133</v>
      </c>
      <c r="AF108" s="754">
        <f t="shared" si="69"/>
        <v>136.39456477279421</v>
      </c>
      <c r="AH108" s="750">
        <f>'Recycling - Case 2'!AM198</f>
        <v>0</v>
      </c>
      <c r="AI108" s="751">
        <f>Parameters!S243</f>
        <v>0.71500000000000008</v>
      </c>
      <c r="AJ108" s="751">
        <f t="shared" si="70"/>
        <v>0.4</v>
      </c>
      <c r="AK108" s="752">
        <f t="shared" si="71"/>
        <v>0</v>
      </c>
      <c r="AL108" s="752">
        <f t="shared" si="72"/>
        <v>0</v>
      </c>
      <c r="AM108" s="753">
        <f t="shared" si="73"/>
        <v>0</v>
      </c>
      <c r="AN108" s="752">
        <f t="shared" si="74"/>
        <v>3990.3934501167578</v>
      </c>
      <c r="AO108" s="752">
        <f t="shared" si="75"/>
        <v>204.59184715919133</v>
      </c>
      <c r="AP108" s="754">
        <f t="shared" si="76"/>
        <v>136.39456477279421</v>
      </c>
      <c r="AR108" s="901">
        <f>'Recycling - Case 2'!G118</f>
        <v>790.67120668560699</v>
      </c>
      <c r="AS108" s="902">
        <v>1</v>
      </c>
      <c r="AT108" s="902">
        <f t="shared" si="77"/>
        <v>0.05</v>
      </c>
      <c r="AU108" s="903">
        <f t="shared" si="78"/>
        <v>19.766780167140176</v>
      </c>
      <c r="AV108" s="903">
        <f t="shared" si="79"/>
        <v>19.766780167140176</v>
      </c>
      <c r="AW108" s="279">
        <f t="shared" si="80"/>
        <v>0</v>
      </c>
      <c r="AX108" s="903">
        <f t="shared" si="44"/>
        <v>259.44143188195625</v>
      </c>
      <c r="AY108" s="903">
        <f t="shared" si="49"/>
        <v>14.820652756506078</v>
      </c>
      <c r="AZ108" s="904">
        <f t="shared" si="47"/>
        <v>9.8804351710040521</v>
      </c>
      <c r="BB108" s="913">
        <f t="shared" si="81"/>
        <v>248.9690701520926</v>
      </c>
      <c r="BC108" s="914">
        <f t="shared" si="82"/>
        <v>136.39456477279421</v>
      </c>
      <c r="BD108" s="933">
        <f t="shared" si="90"/>
        <v>9.8804351710040521</v>
      </c>
      <c r="BE108" s="914">
        <f t="shared" si="54"/>
        <v>395.24407009589083</v>
      </c>
      <c r="BF108" s="145">
        <v>0</v>
      </c>
      <c r="BG108" s="927">
        <f t="shared" si="83"/>
        <v>395.24407009589083</v>
      </c>
      <c r="BI108" s="913">
        <f t="shared" si="84"/>
        <v>248.9690701520926</v>
      </c>
      <c r="BJ108" s="914">
        <f t="shared" si="85"/>
        <v>136.39456477279421</v>
      </c>
      <c r="BK108" s="933">
        <f t="shared" si="86"/>
        <v>9.8804351710040521</v>
      </c>
      <c r="BL108" s="914">
        <f t="shared" si="55"/>
        <v>395.24407009589083</v>
      </c>
      <c r="BM108" s="145">
        <v>0</v>
      </c>
      <c r="BN108" s="927">
        <f t="shared" si="87"/>
        <v>395.24407009589083</v>
      </c>
    </row>
    <row r="109" spans="1:66">
      <c r="A109" s="805">
        <f>'Input data'!A139</f>
        <v>2039</v>
      </c>
      <c r="B109" s="728">
        <f>'Input data'!B139</f>
        <v>70.856554082712819</v>
      </c>
      <c r="C109" s="728">
        <f>'Recycling - Case 2'!AK119/B109</f>
        <v>274.21798658222781</v>
      </c>
      <c r="D109" s="729">
        <f>'Recycling - Case 2'!AM119</f>
        <v>0.11470870066993408</v>
      </c>
      <c r="E109" s="729">
        <f>'Recycling - Case 2'!BE119</f>
        <v>0.21698372556164097</v>
      </c>
      <c r="F109" s="729">
        <f>'Recycling - Case 2'!BF119</f>
        <v>0.27519406605460101</v>
      </c>
      <c r="G109" s="729">
        <f>'Recycling - Case 2'!BG119</f>
        <v>5.4075382071256443E-2</v>
      </c>
      <c r="H109" s="729">
        <f>'Recycling - Case 2'!BH119</f>
        <v>0</v>
      </c>
      <c r="I109" s="729">
        <f>'Recycling - Case 2'!BI119</f>
        <v>0</v>
      </c>
      <c r="J109" s="729">
        <f>'Recycling - Case 2'!BJ119</f>
        <v>0</v>
      </c>
      <c r="K109" s="729">
        <f>'Recycling - Case 2'!BK119</f>
        <v>0.45374682631250146</v>
      </c>
      <c r="L109" s="730">
        <f t="shared" si="89"/>
        <v>0.99999999999999978</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2'!AM159</f>
        <v>0</v>
      </c>
      <c r="Y109" s="751">
        <f>Parameters!S244</f>
        <v>0.71500000000000008</v>
      </c>
      <c r="Z109" s="751">
        <f t="shared" si="63"/>
        <v>0.4</v>
      </c>
      <c r="AA109" s="752">
        <f t="shared" si="64"/>
        <v>0</v>
      </c>
      <c r="AB109" s="752">
        <f t="shared" si="65"/>
        <v>0</v>
      </c>
      <c r="AC109" s="753">
        <f t="shared" si="66"/>
        <v>0</v>
      </c>
      <c r="AD109" s="752">
        <f t="shared" si="67"/>
        <v>3795.7796650859823</v>
      </c>
      <c r="AE109" s="752">
        <f t="shared" si="68"/>
        <v>194.6137850307756</v>
      </c>
      <c r="AF109" s="754">
        <f t="shared" si="69"/>
        <v>129.7425233538504</v>
      </c>
      <c r="AH109" s="750">
        <f>'Recycling - Case 2'!AM199</f>
        <v>0</v>
      </c>
      <c r="AI109" s="751">
        <f>Parameters!S244</f>
        <v>0.71500000000000008</v>
      </c>
      <c r="AJ109" s="751">
        <f t="shared" si="70"/>
        <v>0.4</v>
      </c>
      <c r="AK109" s="752">
        <f t="shared" si="71"/>
        <v>0</v>
      </c>
      <c r="AL109" s="752">
        <f t="shared" si="72"/>
        <v>0</v>
      </c>
      <c r="AM109" s="753">
        <f t="shared" si="73"/>
        <v>0</v>
      </c>
      <c r="AN109" s="752">
        <f t="shared" si="74"/>
        <v>3795.7796650859823</v>
      </c>
      <c r="AO109" s="752">
        <f t="shared" si="75"/>
        <v>194.6137850307756</v>
      </c>
      <c r="AP109" s="754">
        <f t="shared" si="76"/>
        <v>129.7425233538504</v>
      </c>
      <c r="AR109" s="901">
        <f>'Recycling - Case 2'!G119</f>
        <v>796.45983428289492</v>
      </c>
      <c r="AS109" s="902">
        <v>1</v>
      </c>
      <c r="AT109" s="902">
        <f t="shared" si="77"/>
        <v>0.05</v>
      </c>
      <c r="AU109" s="903">
        <f t="shared" si="78"/>
        <v>19.911495857072374</v>
      </c>
      <c r="AV109" s="903">
        <f t="shared" si="79"/>
        <v>19.911495857072374</v>
      </c>
      <c r="AW109" s="279">
        <f t="shared" si="80"/>
        <v>0</v>
      </c>
      <c r="AX109" s="903">
        <f t="shared" si="44"/>
        <v>264.24423494581254</v>
      </c>
      <c r="AY109" s="903">
        <f t="shared" si="49"/>
        <v>15.108692793216086</v>
      </c>
      <c r="AZ109" s="904">
        <f t="shared" si="47"/>
        <v>10.072461862144058</v>
      </c>
      <c r="BB109" s="913">
        <f t="shared" si="81"/>
        <v>240.77802134841218</v>
      </c>
      <c r="BC109" s="914">
        <f t="shared" si="82"/>
        <v>129.7425233538504</v>
      </c>
      <c r="BD109" s="933">
        <f t="shared" si="90"/>
        <v>10.072461862144058</v>
      </c>
      <c r="BE109" s="914">
        <f t="shared" si="54"/>
        <v>380.59300656440661</v>
      </c>
      <c r="BF109" s="145">
        <v>0</v>
      </c>
      <c r="BG109" s="927">
        <f t="shared" si="83"/>
        <v>380.59300656440661</v>
      </c>
      <c r="BI109" s="913">
        <f t="shared" si="84"/>
        <v>240.77802134841218</v>
      </c>
      <c r="BJ109" s="914">
        <f t="shared" si="85"/>
        <v>129.7425233538504</v>
      </c>
      <c r="BK109" s="933">
        <f t="shared" si="86"/>
        <v>10.072461862144058</v>
      </c>
      <c r="BL109" s="914">
        <f t="shared" si="55"/>
        <v>380.59300656440661</v>
      </c>
      <c r="BM109" s="145">
        <v>0</v>
      </c>
      <c r="BN109" s="927">
        <f t="shared" si="87"/>
        <v>380.59300656440661</v>
      </c>
    </row>
    <row r="110" spans="1:66">
      <c r="A110" s="805">
        <f>'Input data'!A140</f>
        <v>2040</v>
      </c>
      <c r="B110" s="728">
        <f>'Input data'!B140</f>
        <v>71.375305999999995</v>
      </c>
      <c r="C110" s="728">
        <f>'Recycling - Case 2'!AK120/B110</f>
        <v>273.21011758893553</v>
      </c>
      <c r="D110" s="729">
        <f>'Recycling - Case 2'!AM120</f>
        <v>0.11429508753609822</v>
      </c>
      <c r="E110" s="729">
        <f>'Recycling - Case 2'!BE120</f>
        <v>0.21751380831394043</v>
      </c>
      <c r="F110" s="729">
        <f>'Recycling - Case 2'!BF120</f>
        <v>0.27586635439130974</v>
      </c>
      <c r="G110" s="729">
        <f>'Recycling - Case 2'!BG120</f>
        <v>5.3947347741610877E-2</v>
      </c>
      <c r="H110" s="729">
        <f>'Recycling - Case 2'!BH120</f>
        <v>0</v>
      </c>
      <c r="I110" s="729">
        <f>'Recycling - Case 2'!BI120</f>
        <v>0</v>
      </c>
      <c r="J110" s="729">
        <f>'Recycling - Case 2'!BJ120</f>
        <v>0</v>
      </c>
      <c r="K110" s="729">
        <f>'Recycling - Case 2'!BK120</f>
        <v>0.45267248955313899</v>
      </c>
      <c r="L110" s="730">
        <f t="shared" si="89"/>
        <v>1</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2'!AM160</f>
        <v>0</v>
      </c>
      <c r="Y110" s="751">
        <f>Parameters!S245</f>
        <v>0.71500000000000008</v>
      </c>
      <c r="Z110" s="751">
        <f t="shared" si="63"/>
        <v>0.4</v>
      </c>
      <c r="AA110" s="752">
        <f t="shared" si="64"/>
        <v>0</v>
      </c>
      <c r="AB110" s="752">
        <f t="shared" si="65"/>
        <v>0</v>
      </c>
      <c r="AC110" s="753">
        <f t="shared" si="66"/>
        <v>0</v>
      </c>
      <c r="AD110" s="752">
        <f t="shared" si="67"/>
        <v>3610.6573063512519</v>
      </c>
      <c r="AE110" s="752">
        <f t="shared" si="68"/>
        <v>185.12235873473037</v>
      </c>
      <c r="AF110" s="754">
        <f t="shared" si="69"/>
        <v>123.41490582315357</v>
      </c>
      <c r="AH110" s="750">
        <f>'Recycling - Case 2'!AM200</f>
        <v>0</v>
      </c>
      <c r="AI110" s="751">
        <f>Parameters!S245</f>
        <v>0.71500000000000008</v>
      </c>
      <c r="AJ110" s="751">
        <f t="shared" si="70"/>
        <v>0.4</v>
      </c>
      <c r="AK110" s="752">
        <f t="shared" si="71"/>
        <v>0</v>
      </c>
      <c r="AL110" s="752">
        <f t="shared" si="72"/>
        <v>0</v>
      </c>
      <c r="AM110" s="753">
        <f t="shared" si="73"/>
        <v>0</v>
      </c>
      <c r="AN110" s="752">
        <f t="shared" si="74"/>
        <v>3610.6573063512519</v>
      </c>
      <c r="AO110" s="752">
        <f t="shared" si="75"/>
        <v>185.12235873473037</v>
      </c>
      <c r="AP110" s="754">
        <f t="shared" si="76"/>
        <v>123.41490582315357</v>
      </c>
      <c r="AR110" s="901">
        <f>'Recycling - Case 2'!G120</f>
        <v>802.29084132839955</v>
      </c>
      <c r="AS110" s="902">
        <v>1</v>
      </c>
      <c r="AT110" s="902">
        <f t="shared" si="77"/>
        <v>0.05</v>
      </c>
      <c r="AU110" s="903">
        <f t="shared" si="78"/>
        <v>20.057271033209989</v>
      </c>
      <c r="AV110" s="903">
        <f t="shared" si="79"/>
        <v>20.057271033209989</v>
      </c>
      <c r="AW110" s="279">
        <f t="shared" si="80"/>
        <v>0</v>
      </c>
      <c r="AX110" s="903">
        <f t="shared" si="44"/>
        <v>268.91311970927978</v>
      </c>
      <c r="AY110" s="903">
        <f t="shared" si="49"/>
        <v>15.388386269742757</v>
      </c>
      <c r="AZ110" s="904">
        <f t="shared" si="47"/>
        <v>10.258924179828504</v>
      </c>
      <c r="BB110" s="913">
        <f t="shared" si="81"/>
        <v>232.9924234651935</v>
      </c>
      <c r="BC110" s="914">
        <f t="shared" si="82"/>
        <v>123.41490582315357</v>
      </c>
      <c r="BD110" s="933">
        <f t="shared" si="90"/>
        <v>10.258924179828504</v>
      </c>
      <c r="BE110" s="914">
        <f t="shared" si="54"/>
        <v>366.66625346817557</v>
      </c>
      <c r="BF110" s="145">
        <v>0</v>
      </c>
      <c r="BG110" s="927">
        <f t="shared" si="83"/>
        <v>366.66625346817557</v>
      </c>
      <c r="BI110" s="913">
        <f t="shared" si="84"/>
        <v>232.9924234651935</v>
      </c>
      <c r="BJ110" s="914">
        <f t="shared" si="85"/>
        <v>123.41490582315357</v>
      </c>
      <c r="BK110" s="933">
        <f t="shared" si="86"/>
        <v>10.258924179828504</v>
      </c>
      <c r="BL110" s="914">
        <f t="shared" si="55"/>
        <v>366.66625346817557</v>
      </c>
      <c r="BM110" s="145">
        <v>0</v>
      </c>
      <c r="BN110" s="927">
        <f t="shared" si="87"/>
        <v>366.66625346817557</v>
      </c>
    </row>
    <row r="111" spans="1:66">
      <c r="A111" s="805">
        <f>'Input data'!A141</f>
        <v>2041</v>
      </c>
      <c r="B111" s="728">
        <f>'Input data'!B141</f>
        <v>71.818612994947316</v>
      </c>
      <c r="C111" s="728">
        <f>'Recycling - Case 2'!AK121/B111</f>
        <v>272.36080273005246</v>
      </c>
      <c r="D111" s="729">
        <f>'Recycling - Case 2'!AM121</f>
        <v>0.11394380208981811</v>
      </c>
      <c r="E111" s="729">
        <f>'Recycling - Case 2'!BE121</f>
        <v>0.21795878367338772</v>
      </c>
      <c r="F111" s="729">
        <f>'Recycling - Case 2'!BF121</f>
        <v>0.27643070352921606</v>
      </c>
      <c r="G111" s="729">
        <f>'Recycling - Case 2'!BG121</f>
        <v>5.3839869953268379E-2</v>
      </c>
      <c r="H111" s="729">
        <f>'Recycling - Case 2'!BH121</f>
        <v>0</v>
      </c>
      <c r="I111" s="729">
        <f>'Recycling - Case 2'!BI121</f>
        <v>0</v>
      </c>
      <c r="J111" s="729">
        <f>'Recycling - Case 2'!BJ121</f>
        <v>0</v>
      </c>
      <c r="K111" s="729">
        <f>'Recycling - Case 2'!BK121</f>
        <v>0.45177064284412777</v>
      </c>
      <c r="L111" s="730">
        <f t="shared" si="89"/>
        <v>1</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0.10951590623815873</v>
      </c>
      <c r="Q111" s="734">
        <f t="shared" si="57"/>
        <v>122.04487068935072</v>
      </c>
      <c r="R111" s="734">
        <f t="shared" si="58"/>
        <v>122.04487068935072</v>
      </c>
      <c r="S111" s="737">
        <f t="shared" si="59"/>
        <v>0</v>
      </c>
      <c r="T111" s="734">
        <f t="shared" si="60"/>
        <v>6722.0333680345993</v>
      </c>
      <c r="U111" s="734">
        <f t="shared" si="61"/>
        <v>338.38864632803831</v>
      </c>
      <c r="V111" s="741">
        <f t="shared" si="62"/>
        <v>225.59243088535888</v>
      </c>
      <c r="X111" s="750">
        <f>'Recycling - Case 2'!AM161</f>
        <v>0</v>
      </c>
      <c r="Y111" s="751">
        <f>Parameters!S246</f>
        <v>0.71500000000000008</v>
      </c>
      <c r="Z111" s="751">
        <f t="shared" si="63"/>
        <v>0.4</v>
      </c>
      <c r="AA111" s="752">
        <f t="shared" si="64"/>
        <v>0</v>
      </c>
      <c r="AB111" s="752">
        <f t="shared" si="65"/>
        <v>0</v>
      </c>
      <c r="AC111" s="753">
        <f t="shared" si="66"/>
        <v>0</v>
      </c>
      <c r="AD111" s="752">
        <f t="shared" si="67"/>
        <v>3434.5634715897995</v>
      </c>
      <c r="AE111" s="752">
        <f t="shared" si="68"/>
        <v>176.09383476145229</v>
      </c>
      <c r="AF111" s="754">
        <f t="shared" si="69"/>
        <v>117.3958898409682</v>
      </c>
      <c r="AH111" s="750">
        <f>'Recycling - Case 2'!AM201</f>
        <v>0</v>
      </c>
      <c r="AI111" s="751">
        <f>Parameters!S246</f>
        <v>0.71500000000000008</v>
      </c>
      <c r="AJ111" s="751">
        <f t="shared" si="70"/>
        <v>0.4</v>
      </c>
      <c r="AK111" s="752">
        <f t="shared" si="71"/>
        <v>0</v>
      </c>
      <c r="AL111" s="752">
        <f t="shared" si="72"/>
        <v>0</v>
      </c>
      <c r="AM111" s="753">
        <f t="shared" si="73"/>
        <v>0</v>
      </c>
      <c r="AN111" s="752">
        <f t="shared" si="74"/>
        <v>3434.5634715897995</v>
      </c>
      <c r="AO111" s="752">
        <f t="shared" si="75"/>
        <v>176.09383476145229</v>
      </c>
      <c r="AP111" s="754">
        <f t="shared" si="76"/>
        <v>117.3958898409682</v>
      </c>
      <c r="AR111" s="901">
        <f>'Recycling - Case 2'!G121</f>
        <v>807.27381319745268</v>
      </c>
      <c r="AS111" s="902">
        <v>1</v>
      </c>
      <c r="AT111" s="902">
        <f t="shared" si="77"/>
        <v>0.05</v>
      </c>
      <c r="AU111" s="903">
        <f t="shared" si="78"/>
        <v>20.181845329936319</v>
      </c>
      <c r="AV111" s="903">
        <f t="shared" si="79"/>
        <v>20.181845329936319</v>
      </c>
      <c r="AW111" s="279">
        <f t="shared" si="80"/>
        <v>0</v>
      </c>
      <c r="AX111" s="903">
        <f t="shared" si="44"/>
        <v>273.43468408763141</v>
      </c>
      <c r="AY111" s="903">
        <f t="shared" si="49"/>
        <v>15.660280951584667</v>
      </c>
      <c r="AZ111" s="904">
        <f t="shared" si="47"/>
        <v>10.440187301056445</v>
      </c>
      <c r="BB111" s="913">
        <f t="shared" si="81"/>
        <v>225.59243088535888</v>
      </c>
      <c r="BC111" s="914">
        <f t="shared" si="82"/>
        <v>117.3958898409682</v>
      </c>
      <c r="BD111" s="933">
        <f t="shared" si="90"/>
        <v>10.440187301056445</v>
      </c>
      <c r="BE111" s="914">
        <f t="shared" si="54"/>
        <v>353.42850802738349</v>
      </c>
      <c r="BF111" s="145">
        <v>0</v>
      </c>
      <c r="BG111" s="927">
        <f t="shared" si="83"/>
        <v>353.42850802738349</v>
      </c>
      <c r="BI111" s="913">
        <f t="shared" si="84"/>
        <v>225.59243088535888</v>
      </c>
      <c r="BJ111" s="914">
        <f t="shared" si="85"/>
        <v>117.3958898409682</v>
      </c>
      <c r="BK111" s="933">
        <f t="shared" si="86"/>
        <v>10.440187301056445</v>
      </c>
      <c r="BL111" s="914">
        <f t="shared" si="55"/>
        <v>353.42850802738349</v>
      </c>
      <c r="BM111" s="145">
        <v>0</v>
      </c>
      <c r="BN111" s="927">
        <f t="shared" si="87"/>
        <v>353.42850802738349</v>
      </c>
    </row>
    <row r="112" spans="1:66">
      <c r="A112" s="805">
        <f>'Input data'!A142</f>
        <v>2042</v>
      </c>
      <c r="B112" s="728">
        <f>'Input data'!B142</f>
        <v>72.264673338395411</v>
      </c>
      <c r="C112" s="728">
        <f>'Recycling - Case 2'!AK122/B112</f>
        <v>271.51712367627835</v>
      </c>
      <c r="D112" s="729">
        <f>'Recycling - Case 2'!AM122</f>
        <v>0.11359234306754344</v>
      </c>
      <c r="E112" s="729">
        <f>'Recycling - Case 2'!BE122</f>
        <v>0.21839925921131742</v>
      </c>
      <c r="F112" s="729">
        <f>'Recycling - Case 2'!BF122</f>
        <v>0.27698934567607153</v>
      </c>
      <c r="G112" s="729">
        <f>'Recycling - Case 2'!BG122</f>
        <v>5.3733479036039984E-2</v>
      </c>
      <c r="H112" s="729">
        <f>'Recycling - Case 2'!BH122</f>
        <v>0</v>
      </c>
      <c r="I112" s="729">
        <f>'Recycling - Case 2'!BI122</f>
        <v>0</v>
      </c>
      <c r="J112" s="729">
        <f>'Recycling - Case 2'!BJ122</f>
        <v>0</v>
      </c>
      <c r="K112" s="729">
        <f>'Recycling - Case 2'!BK122</f>
        <v>0.45087791607657107</v>
      </c>
      <c r="L112" s="730">
        <f t="shared" si="89"/>
        <v>1</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0.10965114963132791</v>
      </c>
      <c r="Q112" s="734">
        <f t="shared" si="57"/>
        <v>122.19558635247117</v>
      </c>
      <c r="R112" s="734">
        <f t="shared" si="58"/>
        <v>122.19558635247117</v>
      </c>
      <c r="S112" s="737">
        <f t="shared" si="59"/>
        <v>0</v>
      </c>
      <c r="T112" s="734">
        <f t="shared" si="60"/>
        <v>6516.391518502619</v>
      </c>
      <c r="U112" s="734">
        <f t="shared" si="61"/>
        <v>327.83743588445105</v>
      </c>
      <c r="V112" s="741">
        <f t="shared" si="62"/>
        <v>218.55829058963403</v>
      </c>
      <c r="X112" s="750">
        <f>'Recycling - Case 2'!AM162</f>
        <v>0</v>
      </c>
      <c r="Y112" s="751">
        <f>Parameters!S247</f>
        <v>0.71500000000000008</v>
      </c>
      <c r="Z112" s="751">
        <f t="shared" si="63"/>
        <v>0.4</v>
      </c>
      <c r="AA112" s="752">
        <f t="shared" si="64"/>
        <v>0</v>
      </c>
      <c r="AB112" s="752">
        <f t="shared" si="65"/>
        <v>0</v>
      </c>
      <c r="AC112" s="753">
        <f t="shared" si="66"/>
        <v>0</v>
      </c>
      <c r="AD112" s="752">
        <f t="shared" si="67"/>
        <v>3267.0578344915393</v>
      </c>
      <c r="AE112" s="752">
        <f t="shared" si="68"/>
        <v>167.50563709826008</v>
      </c>
      <c r="AF112" s="754">
        <f t="shared" si="69"/>
        <v>111.67042473217339</v>
      </c>
      <c r="AH112" s="750">
        <f>'Recycling - Case 2'!AM202</f>
        <v>0</v>
      </c>
      <c r="AI112" s="751">
        <f>Parameters!S247</f>
        <v>0.71500000000000008</v>
      </c>
      <c r="AJ112" s="751">
        <f t="shared" si="70"/>
        <v>0.4</v>
      </c>
      <c r="AK112" s="752">
        <f t="shared" si="71"/>
        <v>0</v>
      </c>
      <c r="AL112" s="752">
        <f t="shared" si="72"/>
        <v>0</v>
      </c>
      <c r="AM112" s="753">
        <f t="shared" si="73"/>
        <v>0</v>
      </c>
      <c r="AN112" s="752">
        <f t="shared" si="74"/>
        <v>3267.0578344915393</v>
      </c>
      <c r="AO112" s="752">
        <f t="shared" si="75"/>
        <v>167.50563709826008</v>
      </c>
      <c r="AP112" s="754">
        <f t="shared" si="76"/>
        <v>111.67042473217339</v>
      </c>
      <c r="AR112" s="901">
        <f>'Recycling - Case 2'!G122</f>
        <v>812.28773395357814</v>
      </c>
      <c r="AS112" s="902">
        <v>1</v>
      </c>
      <c r="AT112" s="902">
        <f t="shared" si="77"/>
        <v>0.05</v>
      </c>
      <c r="AU112" s="903">
        <f t="shared" si="78"/>
        <v>20.307193348839455</v>
      </c>
      <c r="AV112" s="903">
        <f t="shared" si="79"/>
        <v>20.307193348839455</v>
      </c>
      <c r="AW112" s="279">
        <f t="shared" si="80"/>
        <v>0</v>
      </c>
      <c r="AX112" s="903">
        <f t="shared" si="44"/>
        <v>277.81828107438406</v>
      </c>
      <c r="AY112" s="903">
        <f t="shared" si="49"/>
        <v>15.923596362086821</v>
      </c>
      <c r="AZ112" s="904">
        <f t="shared" si="47"/>
        <v>10.615730908057881</v>
      </c>
      <c r="BB112" s="913">
        <f t="shared" si="81"/>
        <v>218.55829058963403</v>
      </c>
      <c r="BC112" s="914">
        <f t="shared" si="82"/>
        <v>111.67042473217339</v>
      </c>
      <c r="BD112" s="933">
        <f t="shared" si="90"/>
        <v>10.615730908057881</v>
      </c>
      <c r="BE112" s="914">
        <f t="shared" si="54"/>
        <v>340.84444622986524</v>
      </c>
      <c r="BF112" s="145">
        <v>0</v>
      </c>
      <c r="BG112" s="927">
        <f t="shared" si="83"/>
        <v>340.84444622986524</v>
      </c>
      <c r="BI112" s="913">
        <f t="shared" si="84"/>
        <v>218.55829058963403</v>
      </c>
      <c r="BJ112" s="914">
        <f t="shared" si="85"/>
        <v>111.67042473217339</v>
      </c>
      <c r="BK112" s="933">
        <f t="shared" si="86"/>
        <v>10.615730908057881</v>
      </c>
      <c r="BL112" s="914">
        <f t="shared" si="55"/>
        <v>340.84444622986524</v>
      </c>
      <c r="BM112" s="145">
        <v>0</v>
      </c>
      <c r="BN112" s="927">
        <f t="shared" si="87"/>
        <v>340.84444622986524</v>
      </c>
    </row>
    <row r="113" spans="1:66">
      <c r="A113" s="805">
        <f>'Input data'!A143</f>
        <v>2043</v>
      </c>
      <c r="B113" s="728">
        <f>'Input data'!B143</f>
        <v>72.713504131197794</v>
      </c>
      <c r="C113" s="728">
        <f>'Recycling - Case 2'!AK123/B113</f>
        <v>270.67903850077238</v>
      </c>
      <c r="D113" s="729">
        <f>'Recycling - Case 2'!AM123</f>
        <v>0.11324072120840105</v>
      </c>
      <c r="E113" s="729">
        <f>'Recycling - Case 2'!BE123</f>
        <v>0.21883529452492334</v>
      </c>
      <c r="F113" s="729">
        <f>'Recycling - Case 2'!BF123</f>
        <v>0.27754235641724123</v>
      </c>
      <c r="G113" s="729">
        <f>'Recycling - Case 2'!BG123</f>
        <v>5.3628160595028361E-2</v>
      </c>
      <c r="H113" s="729">
        <f>'Recycling - Case 2'!BH123</f>
        <v>0</v>
      </c>
      <c r="I113" s="729">
        <f>'Recycling - Case 2'!BI123</f>
        <v>0</v>
      </c>
      <c r="J113" s="729">
        <f>'Recycling - Case 2'!BJ123</f>
        <v>0</v>
      </c>
      <c r="K113" s="729">
        <f>'Recycling - Case 2'!BK123</f>
        <v>0.44999418846280725</v>
      </c>
      <c r="L113" s="730">
        <f t="shared" si="89"/>
        <v>1.0000000000000002</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2'!AM163</f>
        <v>0</v>
      </c>
      <c r="Y113" s="751">
        <f>Parameters!S248</f>
        <v>0.71500000000000008</v>
      </c>
      <c r="Z113" s="751">
        <f t="shared" si="63"/>
        <v>0.4</v>
      </c>
      <c r="AA113" s="752">
        <f t="shared" si="64"/>
        <v>0</v>
      </c>
      <c r="AB113" s="752">
        <f t="shared" si="65"/>
        <v>0</v>
      </c>
      <c r="AC113" s="753">
        <f t="shared" si="66"/>
        <v>0</v>
      </c>
      <c r="AD113" s="752">
        <f t="shared" si="67"/>
        <v>3107.7215437139357</v>
      </c>
      <c r="AE113" s="752">
        <f t="shared" si="68"/>
        <v>159.33629077760338</v>
      </c>
      <c r="AF113" s="754">
        <f t="shared" si="69"/>
        <v>106.22419385173559</v>
      </c>
      <c r="AH113" s="750">
        <f>'Recycling - Case 2'!AM203</f>
        <v>0</v>
      </c>
      <c r="AI113" s="751">
        <f>Parameters!S248</f>
        <v>0.71500000000000008</v>
      </c>
      <c r="AJ113" s="751">
        <f t="shared" si="70"/>
        <v>0.4</v>
      </c>
      <c r="AK113" s="752">
        <f t="shared" si="71"/>
        <v>0</v>
      </c>
      <c r="AL113" s="752">
        <f t="shared" si="72"/>
        <v>0</v>
      </c>
      <c r="AM113" s="753">
        <f t="shared" si="73"/>
        <v>0</v>
      </c>
      <c r="AN113" s="752">
        <f t="shared" si="74"/>
        <v>3107.7215437139357</v>
      </c>
      <c r="AO113" s="752">
        <f t="shared" si="75"/>
        <v>159.33629077760338</v>
      </c>
      <c r="AP113" s="754">
        <f t="shared" si="76"/>
        <v>106.22419385173559</v>
      </c>
      <c r="AR113" s="901">
        <f>'Recycling - Case 2'!G123</f>
        <v>817.33279581813269</v>
      </c>
      <c r="AS113" s="902">
        <v>1</v>
      </c>
      <c r="AT113" s="902">
        <f t="shared" si="77"/>
        <v>0.05</v>
      </c>
      <c r="AU113" s="903">
        <f t="shared" si="78"/>
        <v>20.43331989545332</v>
      </c>
      <c r="AV113" s="903">
        <f t="shared" si="79"/>
        <v>20.43331989545332</v>
      </c>
      <c r="AW113" s="279">
        <f t="shared" si="80"/>
        <v>0</v>
      </c>
      <c r="AX113" s="903">
        <f t="shared" si="44"/>
        <v>282.07272379264833</v>
      </c>
      <c r="AY113" s="903">
        <f t="shared" si="49"/>
        <v>16.178877177189044</v>
      </c>
      <c r="AZ113" s="904">
        <f t="shared" si="47"/>
        <v>10.785918118126029</v>
      </c>
      <c r="BB113" s="913">
        <f t="shared" si="81"/>
        <v>211.87210969069255</v>
      </c>
      <c r="BC113" s="914">
        <f t="shared" si="82"/>
        <v>106.22419385173559</v>
      </c>
      <c r="BD113" s="933">
        <f t="shared" si="90"/>
        <v>10.785918118126029</v>
      </c>
      <c r="BE113" s="914">
        <f t="shared" si="54"/>
        <v>328.88222166055414</v>
      </c>
      <c r="BF113" s="145">
        <v>0</v>
      </c>
      <c r="BG113" s="927">
        <f t="shared" si="83"/>
        <v>328.88222166055414</v>
      </c>
      <c r="BI113" s="913">
        <f t="shared" si="84"/>
        <v>211.87210969069255</v>
      </c>
      <c r="BJ113" s="914">
        <f t="shared" si="85"/>
        <v>106.22419385173559</v>
      </c>
      <c r="BK113" s="933">
        <f t="shared" si="86"/>
        <v>10.785918118126029</v>
      </c>
      <c r="BL113" s="914">
        <f t="shared" si="55"/>
        <v>328.88222166055414</v>
      </c>
      <c r="BM113" s="145">
        <v>0</v>
      </c>
      <c r="BN113" s="927">
        <f t="shared" si="87"/>
        <v>328.88222166055414</v>
      </c>
    </row>
    <row r="114" spans="1:66">
      <c r="A114" s="805">
        <f>'Input data'!A144</f>
        <v>2044</v>
      </c>
      <c r="B114" s="728">
        <f>'Input data'!B144</f>
        <v>73.165122580420132</v>
      </c>
      <c r="C114" s="728">
        <f>'Recycling - Case 2'!AK124/B114</f>
        <v>269.84650568336718</v>
      </c>
      <c r="D114" s="729">
        <f>'Recycling - Case 2'!AM124</f>
        <v>0.11288894718501212</v>
      </c>
      <c r="E114" s="729">
        <f>'Recycling - Case 2'!BE124</f>
        <v>0.21926694818441095</v>
      </c>
      <c r="F114" s="729">
        <f>'Recycling - Case 2'!BF124</f>
        <v>0.27808981003559108</v>
      </c>
      <c r="G114" s="729">
        <f>'Recycling - Case 2'!BG124</f>
        <v>5.3523900483391409E-2</v>
      </c>
      <c r="H114" s="729">
        <f>'Recycling - Case 2'!BH124</f>
        <v>0</v>
      </c>
      <c r="I114" s="729">
        <f>'Recycling - Case 2'!BI124</f>
        <v>0</v>
      </c>
      <c r="J114" s="729">
        <f>'Recycling - Case 2'!BJ124</f>
        <v>0</v>
      </c>
      <c r="K114" s="729">
        <f>'Recycling - Case 2'!BK124</f>
        <v>0.44911934129660647</v>
      </c>
      <c r="L114" s="730">
        <f t="shared" si="89"/>
        <v>0.99999999999999989</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2'!AM164</f>
        <v>0</v>
      </c>
      <c r="Y114" s="751">
        <f>Parameters!S249</f>
        <v>0.71500000000000008</v>
      </c>
      <c r="Z114" s="751">
        <f t="shared" si="63"/>
        <v>0.4</v>
      </c>
      <c r="AA114" s="752">
        <f t="shared" si="64"/>
        <v>0</v>
      </c>
      <c r="AB114" s="752">
        <f t="shared" si="65"/>
        <v>0</v>
      </c>
      <c r="AC114" s="753">
        <f t="shared" si="66"/>
        <v>0</v>
      </c>
      <c r="AD114" s="752">
        <f t="shared" si="67"/>
        <v>2956.1561755354778</v>
      </c>
      <c r="AE114" s="752">
        <f t="shared" si="68"/>
        <v>151.5653681784581</v>
      </c>
      <c r="AF114" s="754">
        <f t="shared" si="69"/>
        <v>101.04357878563873</v>
      </c>
      <c r="AH114" s="750">
        <f>'Recycling - Case 2'!AM204</f>
        <v>0</v>
      </c>
      <c r="AI114" s="751">
        <f>Parameters!S249</f>
        <v>0.71500000000000008</v>
      </c>
      <c r="AJ114" s="751">
        <f t="shared" si="70"/>
        <v>0.4</v>
      </c>
      <c r="AK114" s="752">
        <f t="shared" si="71"/>
        <v>0</v>
      </c>
      <c r="AL114" s="752">
        <f t="shared" si="72"/>
        <v>0</v>
      </c>
      <c r="AM114" s="753">
        <f t="shared" si="73"/>
        <v>0</v>
      </c>
      <c r="AN114" s="752">
        <f t="shared" si="74"/>
        <v>2956.1561755354778</v>
      </c>
      <c r="AO114" s="752">
        <f t="shared" si="75"/>
        <v>151.5653681784581</v>
      </c>
      <c r="AP114" s="754">
        <f t="shared" si="76"/>
        <v>101.04357878563873</v>
      </c>
      <c r="AR114" s="901">
        <f>'Recycling - Case 2'!G124</f>
        <v>822.40919220634601</v>
      </c>
      <c r="AS114" s="902">
        <v>1</v>
      </c>
      <c r="AT114" s="902">
        <f t="shared" si="77"/>
        <v>0.05</v>
      </c>
      <c r="AU114" s="903">
        <f t="shared" si="78"/>
        <v>20.560229805158652</v>
      </c>
      <c r="AV114" s="903">
        <f t="shared" si="79"/>
        <v>20.560229805158652</v>
      </c>
      <c r="AW114" s="279">
        <f t="shared" si="80"/>
        <v>0</v>
      </c>
      <c r="AX114" s="903">
        <f t="shared" ref="AX114:AX120" si="91">AV114+(AX113*$E$8)</f>
        <v>286.20631696458071</v>
      </c>
      <c r="AY114" s="903">
        <f t="shared" si="49"/>
        <v>16.426636633226259</v>
      </c>
      <c r="AZ114" s="904">
        <f t="shared" si="47"/>
        <v>10.951091088817506</v>
      </c>
      <c r="BB114" s="913">
        <f t="shared" si="81"/>
        <v>205.51686861064377</v>
      </c>
      <c r="BC114" s="914">
        <f t="shared" si="82"/>
        <v>101.04357878563873</v>
      </c>
      <c r="BD114" s="933">
        <f t="shared" si="90"/>
        <v>10.951091088817506</v>
      </c>
      <c r="BE114" s="914">
        <f t="shared" si="54"/>
        <v>317.5115384851</v>
      </c>
      <c r="BF114" s="145">
        <v>0</v>
      </c>
      <c r="BG114" s="927">
        <f t="shared" si="83"/>
        <v>317.5115384851</v>
      </c>
      <c r="BI114" s="913">
        <f t="shared" si="84"/>
        <v>205.51686861064377</v>
      </c>
      <c r="BJ114" s="914">
        <f t="shared" si="85"/>
        <v>101.04357878563873</v>
      </c>
      <c r="BK114" s="933">
        <f t="shared" si="86"/>
        <v>10.951091088817506</v>
      </c>
      <c r="BL114" s="914">
        <f t="shared" si="55"/>
        <v>317.5115384851</v>
      </c>
      <c r="BM114" s="145">
        <v>0</v>
      </c>
      <c r="BN114" s="927">
        <f t="shared" si="87"/>
        <v>317.5115384851</v>
      </c>
    </row>
    <row r="115" spans="1:66">
      <c r="A115" s="805">
        <f>'Input data'!A145</f>
        <v>2045</v>
      </c>
      <c r="B115" s="728">
        <f>'Input data'!B145</f>
        <v>73.619545999999971</v>
      </c>
      <c r="C115" s="728">
        <f>'Recycling - Case 2'!AK125/B115</f>
        <v>269.0194841045323</v>
      </c>
      <c r="D115" s="729">
        <f>'Recycling - Case 2'!AM125</f>
        <v>0.11253703160414483</v>
      </c>
      <c r="E115" s="729">
        <f>'Recycling - Case 2'!BE125</f>
        <v>0.21969427775505454</v>
      </c>
      <c r="F115" s="729">
        <f>'Recycling - Case 2'!BF125</f>
        <v>0.27863177953946222</v>
      </c>
      <c r="G115" s="729">
        <f>'Recycling - Case 2'!BG125</f>
        <v>5.3420684797014596E-2</v>
      </c>
      <c r="H115" s="729">
        <f>'Recycling - Case 2'!BH125</f>
        <v>0</v>
      </c>
      <c r="I115" s="729">
        <f>'Recycling - Case 2'!BI125</f>
        <v>0</v>
      </c>
      <c r="J115" s="729">
        <f>'Recycling - Case 2'!BJ125</f>
        <v>0</v>
      </c>
      <c r="K115" s="729">
        <f>'Recycling - Case 2'!BK125</f>
        <v>0.44825325790846843</v>
      </c>
      <c r="L115" s="730">
        <f t="shared" si="89"/>
        <v>0.99999999999999978</v>
      </c>
      <c r="N115" s="740">
        <f t="shared" si="56"/>
        <v>2228.8062963921584</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2'!AM165</f>
        <v>88.76805148412582</v>
      </c>
      <c r="Y115" s="751">
        <f>Parameters!S250</f>
        <v>0.71500000000000008</v>
      </c>
      <c r="Z115" s="751">
        <f t="shared" si="63"/>
        <v>0.4</v>
      </c>
      <c r="AA115" s="752">
        <f t="shared" si="64"/>
        <v>12.693831362229995</v>
      </c>
      <c r="AB115" s="752">
        <f t="shared" si="65"/>
        <v>12.693831362229995</v>
      </c>
      <c r="AC115" s="753">
        <f t="shared" si="66"/>
        <v>0</v>
      </c>
      <c r="AD115" s="752">
        <f t="shared" si="67"/>
        <v>2824.6765689510744</v>
      </c>
      <c r="AE115" s="752">
        <f t="shared" si="68"/>
        <v>144.17343794663353</v>
      </c>
      <c r="AF115" s="754">
        <f t="shared" si="69"/>
        <v>96.115625297755685</v>
      </c>
      <c r="AH115" s="750">
        <f>'Recycling - Case 2'!AM205</f>
        <v>88.76805148412582</v>
      </c>
      <c r="AI115" s="751">
        <f>Parameters!S250</f>
        <v>0.71500000000000008</v>
      </c>
      <c r="AJ115" s="751">
        <f t="shared" si="70"/>
        <v>0.4</v>
      </c>
      <c r="AK115" s="752">
        <f t="shared" si="71"/>
        <v>12.693831362229995</v>
      </c>
      <c r="AL115" s="752">
        <f t="shared" si="72"/>
        <v>12.693831362229995</v>
      </c>
      <c r="AM115" s="753">
        <f t="shared" si="73"/>
        <v>0</v>
      </c>
      <c r="AN115" s="752">
        <f t="shared" si="74"/>
        <v>2824.6765689510744</v>
      </c>
      <c r="AO115" s="752">
        <f t="shared" si="75"/>
        <v>144.17343794663353</v>
      </c>
      <c r="AP115" s="754">
        <f t="shared" si="76"/>
        <v>96.115625297755685</v>
      </c>
      <c r="AR115" s="901">
        <f>'Recycling - Case 2'!G125</f>
        <v>827.51711773473585</v>
      </c>
      <c r="AS115" s="902">
        <v>1</v>
      </c>
      <c r="AT115" s="902">
        <f t="shared" si="77"/>
        <v>0.05</v>
      </c>
      <c r="AU115" s="903">
        <f t="shared" si="78"/>
        <v>20.687927943368397</v>
      </c>
      <c r="AV115" s="903">
        <f t="shared" si="79"/>
        <v>20.687927943368397</v>
      </c>
      <c r="AW115" s="279">
        <f t="shared" si="80"/>
        <v>0</v>
      </c>
      <c r="AX115" s="903">
        <f t="shared" si="91"/>
        <v>290.22688654838237</v>
      </c>
      <c r="AY115" s="903">
        <f t="shared" si="49"/>
        <v>16.667358359566705</v>
      </c>
      <c r="AZ115" s="904">
        <f t="shared" si="47"/>
        <v>11.111572239711137</v>
      </c>
      <c r="BB115" s="913">
        <f t="shared" si="81"/>
        <v>199.47637847780393</v>
      </c>
      <c r="BC115" s="914">
        <f t="shared" si="82"/>
        <v>96.115625297755685</v>
      </c>
      <c r="BD115" s="933">
        <f t="shared" si="90"/>
        <v>11.111572239711137</v>
      </c>
      <c r="BE115" s="914">
        <f t="shared" si="54"/>
        <v>306.70357601527076</v>
      </c>
      <c r="BF115" s="145">
        <v>0</v>
      </c>
      <c r="BG115" s="927">
        <f t="shared" si="83"/>
        <v>306.70357601527076</v>
      </c>
      <c r="BI115" s="913">
        <f t="shared" si="84"/>
        <v>199.47637847780393</v>
      </c>
      <c r="BJ115" s="914">
        <f t="shared" si="85"/>
        <v>96.115625297755685</v>
      </c>
      <c r="BK115" s="933">
        <f t="shared" si="86"/>
        <v>11.111572239711137</v>
      </c>
      <c r="BL115" s="914">
        <f t="shared" si="55"/>
        <v>306.70357601527076</v>
      </c>
      <c r="BM115" s="145">
        <v>0</v>
      </c>
      <c r="BN115" s="927">
        <f t="shared" si="87"/>
        <v>306.70357601527076</v>
      </c>
    </row>
    <row r="116" spans="1:66">
      <c r="A116" s="805">
        <f>'Input data'!A146</f>
        <v>2046</v>
      </c>
      <c r="B116" s="728">
        <f>'Input data'!B146</f>
        <v>73.995362001779526</v>
      </c>
      <c r="C116" s="728">
        <f>'Recycling - Case 2'!AK126/B116</f>
        <v>268.34347153368111</v>
      </c>
      <c r="D116" s="729">
        <f>'Recycling - Case 2'!AM126</f>
        <v>0.11224752992749164</v>
      </c>
      <c r="E116" s="729">
        <f>'Recycling - Case 2'!BE126</f>
        <v>0.22004249838631784</v>
      </c>
      <c r="F116" s="729">
        <f>'Recycling - Case 2'!BF126</f>
        <v>0.27907341750633474</v>
      </c>
      <c r="G116" s="729">
        <f>'Recycling - Case 2'!BG126</f>
        <v>5.3336576806518536E-2</v>
      </c>
      <c r="H116" s="729">
        <f>'Recycling - Case 2'!BH126</f>
        <v>0</v>
      </c>
      <c r="I116" s="729">
        <f>'Recycling - Case 2'!BI126</f>
        <v>0</v>
      </c>
      <c r="J116" s="729">
        <f>'Recycling - Case 2'!BJ126</f>
        <v>0</v>
      </c>
      <c r="K116" s="729">
        <f>'Recycling - Case 2'!BK126</f>
        <v>0.44754750730082893</v>
      </c>
      <c r="L116" s="730">
        <f t="shared" si="89"/>
        <v>1</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2'!AM166</f>
        <v>227.05119724611177</v>
      </c>
      <c r="Y116" s="751">
        <f>Parameters!S251</f>
        <v>0.71500000000000008</v>
      </c>
      <c r="Z116" s="751">
        <f t="shared" si="63"/>
        <v>0.4</v>
      </c>
      <c r="AA116" s="752">
        <f t="shared" si="64"/>
        <v>32.468321206193991</v>
      </c>
      <c r="AB116" s="752">
        <f t="shared" si="65"/>
        <v>32.468321206193991</v>
      </c>
      <c r="AC116" s="753">
        <f t="shared" si="66"/>
        <v>0</v>
      </c>
      <c r="AD116" s="752">
        <f t="shared" si="67"/>
        <v>2719.3837882901762</v>
      </c>
      <c r="AE116" s="752">
        <f t="shared" si="68"/>
        <v>137.76110186709246</v>
      </c>
      <c r="AF116" s="754">
        <f t="shared" si="69"/>
        <v>91.840734578061642</v>
      </c>
      <c r="AH116" s="750">
        <f>'Recycling - Case 2'!AM206</f>
        <v>227.05119724611177</v>
      </c>
      <c r="AI116" s="751">
        <f>Parameters!S251</f>
        <v>0.71500000000000008</v>
      </c>
      <c r="AJ116" s="751">
        <f t="shared" si="70"/>
        <v>0.4</v>
      </c>
      <c r="AK116" s="752">
        <f t="shared" si="71"/>
        <v>32.468321206193991</v>
      </c>
      <c r="AL116" s="752">
        <f t="shared" si="72"/>
        <v>32.468321206193991</v>
      </c>
      <c r="AM116" s="753">
        <f t="shared" si="73"/>
        <v>0</v>
      </c>
      <c r="AN116" s="752">
        <f t="shared" si="74"/>
        <v>2719.3837882901762</v>
      </c>
      <c r="AO116" s="752">
        <f t="shared" si="75"/>
        <v>137.76110186709246</v>
      </c>
      <c r="AP116" s="754">
        <f t="shared" si="76"/>
        <v>91.840734578061642</v>
      </c>
      <c r="AR116" s="901">
        <f>'Recycling - Case 2'!G126</f>
        <v>831.74146020203671</v>
      </c>
      <c r="AS116" s="902">
        <v>1</v>
      </c>
      <c r="AT116" s="902">
        <f t="shared" si="77"/>
        <v>0.05</v>
      </c>
      <c r="AU116" s="903">
        <f t="shared" si="78"/>
        <v>20.79353650505092</v>
      </c>
      <c r="AV116" s="903">
        <f t="shared" si="79"/>
        <v>20.79353650505092</v>
      </c>
      <c r="AW116" s="279">
        <f t="shared" si="80"/>
        <v>0</v>
      </c>
      <c r="AX116" s="903">
        <f t="shared" si="91"/>
        <v>294.1189249488969</v>
      </c>
      <c r="AY116" s="903">
        <f t="shared" si="49"/>
        <v>16.90149810453638</v>
      </c>
      <c r="AZ116" s="904">
        <f t="shared" si="47"/>
        <v>11.267665403024253</v>
      </c>
      <c r="BB116" s="913">
        <f t="shared" si="81"/>
        <v>193.73524060149632</v>
      </c>
      <c r="BC116" s="914">
        <f t="shared" si="82"/>
        <v>91.840734578061642</v>
      </c>
      <c r="BD116" s="933">
        <f t="shared" si="90"/>
        <v>11.267665403024253</v>
      </c>
      <c r="BE116" s="914">
        <f t="shared" si="54"/>
        <v>296.84364058258222</v>
      </c>
      <c r="BF116" s="145">
        <v>0</v>
      </c>
      <c r="BG116" s="927">
        <f t="shared" si="83"/>
        <v>296.84364058258222</v>
      </c>
      <c r="BI116" s="913">
        <f t="shared" si="84"/>
        <v>193.73524060149632</v>
      </c>
      <c r="BJ116" s="914">
        <f t="shared" si="85"/>
        <v>91.840734578061642</v>
      </c>
      <c r="BK116" s="933">
        <f t="shared" si="86"/>
        <v>11.267665403024253</v>
      </c>
      <c r="BL116" s="914">
        <f t="shared" si="55"/>
        <v>296.84364058258222</v>
      </c>
      <c r="BM116" s="145">
        <v>0</v>
      </c>
      <c r="BN116" s="927">
        <f t="shared" si="87"/>
        <v>296.84364058258222</v>
      </c>
    </row>
    <row r="117" spans="1:66">
      <c r="A117" s="805">
        <f>'Input data'!A147</f>
        <v>2047</v>
      </c>
      <c r="B117" s="728">
        <f>'Input data'!B147</f>
        <v>74.373096484110363</v>
      </c>
      <c r="C117" s="728">
        <f>'Recycling - Case 2'!AK127/B117</f>
        <v>267.67113612541198</v>
      </c>
      <c r="D117" s="729">
        <f>'Recycling - Case 2'!AM127</f>
        <v>0.11195794547794445</v>
      </c>
      <c r="E117" s="729">
        <f>'Recycling - Case 2'!BE127</f>
        <v>0.22038786396742607</v>
      </c>
      <c r="F117" s="729">
        <f>'Recycling - Case 2'!BF127</f>
        <v>0.27951143449721488</v>
      </c>
      <c r="G117" s="729">
        <f>'Recycling - Case 2'!BG127</f>
        <v>5.3253158414827681E-2</v>
      </c>
      <c r="H117" s="729">
        <f>'Recycling - Case 2'!BH127</f>
        <v>0</v>
      </c>
      <c r="I117" s="729">
        <f>'Recycling - Case 2'!BI127</f>
        <v>0</v>
      </c>
      <c r="J117" s="729">
        <f>'Recycling - Case 2'!BJ127</f>
        <v>0</v>
      </c>
      <c r="K117" s="729">
        <f>'Recycling - Case 2'!BK127</f>
        <v>0.44684754312053121</v>
      </c>
      <c r="L117" s="730">
        <f t="shared" si="89"/>
        <v>0.99999999999999989</v>
      </c>
      <c r="N117" s="740">
        <f t="shared" si="56"/>
        <v>2228.8062963921584</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2'!AM167</f>
        <v>365.27451856528114</v>
      </c>
      <c r="Y117" s="751">
        <f>Parameters!S252</f>
        <v>0.71500000000000008</v>
      </c>
      <c r="Z117" s="751">
        <f t="shared" si="63"/>
        <v>0.4</v>
      </c>
      <c r="AA117" s="752">
        <f t="shared" si="64"/>
        <v>52.234256154835215</v>
      </c>
      <c r="AB117" s="752">
        <f t="shared" si="65"/>
        <v>52.234256154835215</v>
      </c>
      <c r="AC117" s="753">
        <f t="shared" si="66"/>
        <v>0</v>
      </c>
      <c r="AD117" s="752">
        <f t="shared" si="67"/>
        <v>2638.9921320866711</v>
      </c>
      <c r="AE117" s="752">
        <f t="shared" si="68"/>
        <v>132.62591235834037</v>
      </c>
      <c r="AF117" s="754">
        <f t="shared" si="69"/>
        <v>88.417274905560248</v>
      </c>
      <c r="AH117" s="750">
        <f>'Recycling - Case 2'!AM207</f>
        <v>365.27451856528114</v>
      </c>
      <c r="AI117" s="751">
        <f>Parameters!S252</f>
        <v>0.71500000000000008</v>
      </c>
      <c r="AJ117" s="751">
        <f t="shared" si="70"/>
        <v>0.4</v>
      </c>
      <c r="AK117" s="752">
        <f t="shared" si="71"/>
        <v>52.234256154835215</v>
      </c>
      <c r="AL117" s="752">
        <f t="shared" si="72"/>
        <v>52.234256154835215</v>
      </c>
      <c r="AM117" s="753">
        <f t="shared" si="73"/>
        <v>0</v>
      </c>
      <c r="AN117" s="752">
        <f t="shared" si="74"/>
        <v>2638.9921320866711</v>
      </c>
      <c r="AO117" s="752">
        <f t="shared" si="75"/>
        <v>132.62591235834037</v>
      </c>
      <c r="AP117" s="754">
        <f t="shared" si="76"/>
        <v>88.417274905560248</v>
      </c>
      <c r="AR117" s="901">
        <f>'Recycling - Case 2'!G127</f>
        <v>835.98736726165691</v>
      </c>
      <c r="AS117" s="902">
        <v>1</v>
      </c>
      <c r="AT117" s="902">
        <f t="shared" si="77"/>
        <v>0.05</v>
      </c>
      <c r="AU117" s="903">
        <f t="shared" si="78"/>
        <v>20.899684181541424</v>
      </c>
      <c r="AV117" s="903">
        <f t="shared" si="79"/>
        <v>20.899684181541424</v>
      </c>
      <c r="AW117" s="279">
        <f t="shared" si="80"/>
        <v>0</v>
      </c>
      <c r="AX117" s="903">
        <f t="shared" si="91"/>
        <v>297.89045635433996</v>
      </c>
      <c r="AY117" s="903">
        <f t="shared" si="49"/>
        <v>17.128152776098357</v>
      </c>
      <c r="AZ117" s="904">
        <f t="shared" si="47"/>
        <v>11.418768517398904</v>
      </c>
      <c r="BB117" s="913">
        <f t="shared" si="81"/>
        <v>188.27797530646615</v>
      </c>
      <c r="BC117" s="914">
        <f t="shared" si="82"/>
        <v>88.417274905560248</v>
      </c>
      <c r="BD117" s="933">
        <f t="shared" si="90"/>
        <v>11.418768517398904</v>
      </c>
      <c r="BE117" s="914">
        <f t="shared" si="54"/>
        <v>288.11401872942531</v>
      </c>
      <c r="BF117" s="145">
        <v>0</v>
      </c>
      <c r="BG117" s="927">
        <f t="shared" si="83"/>
        <v>288.11401872942531</v>
      </c>
      <c r="BI117" s="913">
        <f t="shared" si="84"/>
        <v>188.27797530646615</v>
      </c>
      <c r="BJ117" s="914">
        <f t="shared" si="85"/>
        <v>88.417274905560248</v>
      </c>
      <c r="BK117" s="933">
        <f t="shared" si="86"/>
        <v>11.418768517398904</v>
      </c>
      <c r="BL117" s="914">
        <f t="shared" si="55"/>
        <v>288.11401872942531</v>
      </c>
      <c r="BM117" s="145">
        <v>0</v>
      </c>
      <c r="BN117" s="927">
        <f t="shared" si="87"/>
        <v>288.11401872942531</v>
      </c>
    </row>
    <row r="118" spans="1:66">
      <c r="A118" s="805">
        <f>'Input data'!A148</f>
        <v>2048</v>
      </c>
      <c r="B118" s="728">
        <f>'Input data'!B148</f>
        <v>74.752759240528661</v>
      </c>
      <c r="C118" s="728">
        <f>'Recycling - Case 2'!AK128/B118</f>
        <v>267.00245560366284</v>
      </c>
      <c r="D118" s="729">
        <f>'Recycling - Case 2'!AM128</f>
        <v>0.11166828405608349</v>
      </c>
      <c r="E118" s="729">
        <f>'Recycling - Case 2'!BE128</f>
        <v>0.22073040504531644</v>
      </c>
      <c r="F118" s="729">
        <f>'Recycling - Case 2'!BF128</f>
        <v>0.27994586925388332</v>
      </c>
      <c r="G118" s="729">
        <f>'Recycling - Case 2'!BG128</f>
        <v>5.3170422243742146E-2</v>
      </c>
      <c r="H118" s="729">
        <f>'Recycling - Case 2'!BH128</f>
        <v>0</v>
      </c>
      <c r="I118" s="729">
        <f>'Recycling - Case 2'!BI128</f>
        <v>0</v>
      </c>
      <c r="J118" s="729">
        <f>'Recycling - Case 2'!BJ128</f>
        <v>0</v>
      </c>
      <c r="K118" s="729">
        <f>'Recycling - Case 2'!BK128</f>
        <v>0.44615330345705817</v>
      </c>
      <c r="L118" s="730">
        <f t="shared" si="89"/>
        <v>1</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2'!AM168</f>
        <v>503.58861723931761</v>
      </c>
      <c r="Y118" s="751">
        <f>Parameters!S253</f>
        <v>0.71500000000000008</v>
      </c>
      <c r="Z118" s="751">
        <f t="shared" si="63"/>
        <v>0.4</v>
      </c>
      <c r="AA118" s="752">
        <f t="shared" si="64"/>
        <v>72.013172265222437</v>
      </c>
      <c r="AB118" s="752">
        <f t="shared" si="65"/>
        <v>72.013172265222437</v>
      </c>
      <c r="AC118" s="753">
        <f t="shared" si="66"/>
        <v>0</v>
      </c>
      <c r="AD118" s="752">
        <f t="shared" si="67"/>
        <v>2582.3001393319387</v>
      </c>
      <c r="AE118" s="752">
        <f t="shared" si="68"/>
        <v>128.70516501995468</v>
      </c>
      <c r="AF118" s="754">
        <f t="shared" si="69"/>
        <v>85.803443346636456</v>
      </c>
      <c r="AH118" s="750">
        <f>'Recycling - Case 2'!AM208</f>
        <v>503.58861723931761</v>
      </c>
      <c r="AI118" s="751">
        <f>Parameters!S253</f>
        <v>0.71500000000000008</v>
      </c>
      <c r="AJ118" s="751">
        <f t="shared" si="70"/>
        <v>0.4</v>
      </c>
      <c r="AK118" s="752">
        <f t="shared" si="71"/>
        <v>72.013172265222437</v>
      </c>
      <c r="AL118" s="752">
        <f t="shared" si="72"/>
        <v>72.013172265222437</v>
      </c>
      <c r="AM118" s="753">
        <f t="shared" si="73"/>
        <v>0</v>
      </c>
      <c r="AN118" s="752">
        <f t="shared" si="74"/>
        <v>2582.3001393319387</v>
      </c>
      <c r="AO118" s="752">
        <f t="shared" si="75"/>
        <v>128.70516501995468</v>
      </c>
      <c r="AP118" s="754">
        <f t="shared" si="76"/>
        <v>85.803443346636456</v>
      </c>
      <c r="AR118" s="901">
        <f>'Recycling - Case 2'!G128</f>
        <v>840.25494899738908</v>
      </c>
      <c r="AS118" s="902">
        <v>1</v>
      </c>
      <c r="AT118" s="902">
        <f t="shared" si="77"/>
        <v>0.05</v>
      </c>
      <c r="AU118" s="903">
        <f t="shared" si="78"/>
        <v>21.006373724934729</v>
      </c>
      <c r="AV118" s="903">
        <f t="shared" si="79"/>
        <v>21.006373724934729</v>
      </c>
      <c r="AW118" s="279">
        <f t="shared" si="80"/>
        <v>0</v>
      </c>
      <c r="AX118" s="903">
        <f t="shared" si="91"/>
        <v>301.54904041267872</v>
      </c>
      <c r="AY118" s="903">
        <f t="shared" si="49"/>
        <v>17.347789666595986</v>
      </c>
      <c r="AZ118" s="904">
        <f t="shared" si="47"/>
        <v>11.565193111063991</v>
      </c>
      <c r="BB118" s="913">
        <f t="shared" si="81"/>
        <v>183.09070620088937</v>
      </c>
      <c r="BC118" s="914">
        <f t="shared" si="82"/>
        <v>85.803443346636456</v>
      </c>
      <c r="BD118" s="933">
        <f t="shared" si="90"/>
        <v>11.565193111063991</v>
      </c>
      <c r="BE118" s="914">
        <f t="shared" si="54"/>
        <v>280.45934265858983</v>
      </c>
      <c r="BF118" s="145">
        <v>0</v>
      </c>
      <c r="BG118" s="927">
        <f t="shared" si="83"/>
        <v>280.45934265858983</v>
      </c>
      <c r="BI118" s="913">
        <f t="shared" si="84"/>
        <v>183.09070620088937</v>
      </c>
      <c r="BJ118" s="914">
        <f t="shared" si="85"/>
        <v>85.803443346636456</v>
      </c>
      <c r="BK118" s="933">
        <f t="shared" si="86"/>
        <v>11.565193111063991</v>
      </c>
      <c r="BL118" s="914">
        <f t="shared" si="55"/>
        <v>280.45934265858983</v>
      </c>
      <c r="BM118" s="145">
        <v>0</v>
      </c>
      <c r="BN118" s="927">
        <f t="shared" si="87"/>
        <v>280.45934265858983</v>
      </c>
    </row>
    <row r="119" spans="1:66">
      <c r="A119" s="805">
        <f>'Input data'!A149</f>
        <v>2049</v>
      </c>
      <c r="B119" s="728">
        <f>'Input data'!B149</f>
        <v>75.134360114565098</v>
      </c>
      <c r="C119" s="728">
        <f>'Recycling - Case 2'!AK129/B119</f>
        <v>266.33740786604682</v>
      </c>
      <c r="D119" s="729">
        <f>'Recycling - Case 2'!AM129</f>
        <v>0.11137855143335285</v>
      </c>
      <c r="E119" s="729">
        <f>'Recycling - Case 2'!BE129</f>
        <v>0.22107015174195349</v>
      </c>
      <c r="F119" s="729">
        <f>'Recycling - Case 2'!BF129</f>
        <v>0.28037675997914002</v>
      </c>
      <c r="G119" s="729">
        <f>'Recycling - Case 2'!BG129</f>
        <v>5.3088361017708037E-2</v>
      </c>
      <c r="H119" s="729">
        <f>'Recycling - Case 2'!BH129</f>
        <v>0</v>
      </c>
      <c r="I119" s="729">
        <f>'Recycling - Case 2'!BI129</f>
        <v>0</v>
      </c>
      <c r="J119" s="729">
        <f>'Recycling - Case 2'!BJ129</f>
        <v>0</v>
      </c>
      <c r="K119" s="729">
        <f>'Recycling - Case 2'!BK129</f>
        <v>0.44546472726119851</v>
      </c>
      <c r="L119" s="730">
        <f t="shared" si="89"/>
        <v>1.0000000000000002</v>
      </c>
      <c r="N119" s="740">
        <f t="shared" si="56"/>
        <v>2228.8062963921584</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2'!AM169</f>
        <v>642.12639945365675</v>
      </c>
      <c r="Y119" s="751">
        <f>Parameters!S254</f>
        <v>0.71500000000000008</v>
      </c>
      <c r="Z119" s="751">
        <f t="shared" si="63"/>
        <v>0.4</v>
      </c>
      <c r="AA119" s="752">
        <f t="shared" si="64"/>
        <v>91.824075121872937</v>
      </c>
      <c r="AB119" s="752">
        <f t="shared" si="65"/>
        <v>91.824075121872937</v>
      </c>
      <c r="AC119" s="753">
        <f t="shared" si="66"/>
        <v>0</v>
      </c>
      <c r="AD119" s="752">
        <f t="shared" si="67"/>
        <v>2548.1839505467065</v>
      </c>
      <c r="AE119" s="752">
        <f t="shared" si="68"/>
        <v>125.94026390710503</v>
      </c>
      <c r="AF119" s="754">
        <f t="shared" si="69"/>
        <v>83.960175938070023</v>
      </c>
      <c r="AH119" s="750">
        <f>'Recycling - Case 2'!AM209</f>
        <v>642.12639945365675</v>
      </c>
      <c r="AI119" s="751">
        <f>Parameters!S254</f>
        <v>0.71500000000000008</v>
      </c>
      <c r="AJ119" s="751">
        <f t="shared" si="70"/>
        <v>0.4</v>
      </c>
      <c r="AK119" s="752">
        <f t="shared" si="71"/>
        <v>91.824075121872937</v>
      </c>
      <c r="AL119" s="752">
        <f t="shared" si="72"/>
        <v>91.824075121872937</v>
      </c>
      <c r="AM119" s="753">
        <f t="shared" si="73"/>
        <v>0</v>
      </c>
      <c r="AN119" s="752">
        <f t="shared" si="74"/>
        <v>2548.1839505467065</v>
      </c>
      <c r="AO119" s="752">
        <f t="shared" si="75"/>
        <v>125.94026390710503</v>
      </c>
      <c r="AP119" s="754">
        <f t="shared" si="76"/>
        <v>83.960175938070023</v>
      </c>
      <c r="AR119" s="901">
        <f>'Recycling - Case 2'!G129</f>
        <v>844.54431605498667</v>
      </c>
      <c r="AS119" s="902">
        <v>1</v>
      </c>
      <c r="AT119" s="902">
        <f t="shared" si="77"/>
        <v>0.05</v>
      </c>
      <c r="AU119" s="903">
        <f t="shared" si="78"/>
        <v>21.113607901374667</v>
      </c>
      <c r="AV119" s="903">
        <f t="shared" si="79"/>
        <v>21.113607901374667</v>
      </c>
      <c r="AW119" s="279">
        <f t="shared" si="80"/>
        <v>0</v>
      </c>
      <c r="AX119" s="903">
        <f t="shared" si="91"/>
        <v>305.10179929839882</v>
      </c>
      <c r="AY119" s="903">
        <f t="shared" si="49"/>
        <v>17.560849015654576</v>
      </c>
      <c r="AZ119" s="904">
        <f t="shared" si="47"/>
        <v>11.70723267710305</v>
      </c>
      <c r="BB119" s="913">
        <f t="shared" si="81"/>
        <v>178.16023399239415</v>
      </c>
      <c r="BC119" s="914">
        <f t="shared" si="82"/>
        <v>83.960175938070023</v>
      </c>
      <c r="BD119" s="933">
        <f t="shared" si="90"/>
        <v>11.70723267710305</v>
      </c>
      <c r="BE119" s="914">
        <f t="shared" si="54"/>
        <v>273.82764260756721</v>
      </c>
      <c r="BF119" s="145">
        <v>0</v>
      </c>
      <c r="BG119" s="927">
        <f t="shared" si="83"/>
        <v>273.82764260756721</v>
      </c>
      <c r="BI119" s="913">
        <f t="shared" si="84"/>
        <v>178.16023399239415</v>
      </c>
      <c r="BJ119" s="914">
        <f t="shared" si="85"/>
        <v>83.960175938070023</v>
      </c>
      <c r="BK119" s="933">
        <f t="shared" si="86"/>
        <v>11.70723267710305</v>
      </c>
      <c r="BL119" s="914">
        <f t="shared" si="55"/>
        <v>273.82764260756721</v>
      </c>
      <c r="BM119" s="145">
        <v>0</v>
      </c>
      <c r="BN119" s="927">
        <f t="shared" si="87"/>
        <v>273.82764260756721</v>
      </c>
    </row>
    <row r="120" spans="1:66" ht="15" thickBot="1">
      <c r="A120" s="806">
        <f>'Input data'!A150</f>
        <v>2050</v>
      </c>
      <c r="B120" s="731">
        <f>'Input data'!B150</f>
        <v>75.517908999999989</v>
      </c>
      <c r="C120" s="731">
        <f>'Recycling - Case 2'!AK130/B120</f>
        <v>265.67597098179937</v>
      </c>
      <c r="D120" s="732">
        <f>'Recycling - Case 2'!AM130</f>
        <v>0.11108875335226075</v>
      </c>
      <c r="E120" s="732">
        <f>'Recycling - Case 2'!BE130</f>
        <v>0.22140713376170404</v>
      </c>
      <c r="F120" s="732">
        <f>'Recycling - Case 2'!BF130</f>
        <v>0.28080414434615841</v>
      </c>
      <c r="G120" s="732">
        <f>'Recycling - Case 2'!BG130</f>
        <v>5.3006967562036801E-2</v>
      </c>
      <c r="H120" s="732">
        <f>'Recycling - Case 2'!BH130</f>
        <v>0</v>
      </c>
      <c r="I120" s="732">
        <f>'Recycling - Case 2'!BI130</f>
        <v>0</v>
      </c>
      <c r="J120" s="732">
        <f>'Recycling - Case 2'!BJ130</f>
        <v>0</v>
      </c>
      <c r="K120" s="732">
        <f>'Recycling - Case 2'!BK130</f>
        <v>0.44478175433010064</v>
      </c>
      <c r="L120" s="733">
        <f t="shared" si="89"/>
        <v>1</v>
      </c>
      <c r="N120" s="742">
        <f t="shared" si="56"/>
        <v>2228.8062963921584</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0">
        <f>'Recycling - Case 2'!AM170</f>
        <v>780.71353921223874</v>
      </c>
      <c r="Y120" s="756">
        <f>Parameters!S255</f>
        <v>0.71500000000000008</v>
      </c>
      <c r="Z120" s="756">
        <f t="shared" si="63"/>
        <v>0.4</v>
      </c>
      <c r="AA120" s="757">
        <f t="shared" si="64"/>
        <v>111.64203610735015</v>
      </c>
      <c r="AB120" s="757">
        <f t="shared" si="65"/>
        <v>111.64203610735015</v>
      </c>
      <c r="AC120" s="758">
        <f t="shared" si="66"/>
        <v>0</v>
      </c>
      <c r="AD120" s="757">
        <f t="shared" si="67"/>
        <v>2535.5495889078497</v>
      </c>
      <c r="AE120" s="757">
        <f t="shared" si="68"/>
        <v>124.27639774620697</v>
      </c>
      <c r="AF120" s="759">
        <f t="shared" si="69"/>
        <v>82.85093183080464</v>
      </c>
      <c r="AH120" s="750">
        <f>'Recycling - Case 2'!AM210</f>
        <v>780.71353921223874</v>
      </c>
      <c r="AI120" s="756">
        <f>Parameters!S255</f>
        <v>0.71500000000000008</v>
      </c>
      <c r="AJ120" s="756">
        <f t="shared" si="70"/>
        <v>0.4</v>
      </c>
      <c r="AK120" s="757">
        <f t="shared" si="71"/>
        <v>111.64203610735015</v>
      </c>
      <c r="AL120" s="757">
        <f t="shared" si="72"/>
        <v>111.64203610735015</v>
      </c>
      <c r="AM120" s="758">
        <f t="shared" si="73"/>
        <v>0</v>
      </c>
      <c r="AN120" s="757">
        <f t="shared" si="74"/>
        <v>2535.5495889078497</v>
      </c>
      <c r="AO120" s="757">
        <f t="shared" si="75"/>
        <v>124.27639774620697</v>
      </c>
      <c r="AP120" s="759">
        <f t="shared" si="76"/>
        <v>82.85093183080464</v>
      </c>
      <c r="AR120" s="905">
        <f>'Recycling - Case 2'!G130</f>
        <v>848.85557964503187</v>
      </c>
      <c r="AS120" s="906">
        <f>Parameters!R221</f>
        <v>1</v>
      </c>
      <c r="AT120" s="906">
        <f t="shared" si="77"/>
        <v>0.05</v>
      </c>
      <c r="AU120" s="907">
        <f t="shared" si="78"/>
        <v>21.221389491125798</v>
      </c>
      <c r="AV120" s="907">
        <f t="shared" si="79"/>
        <v>21.221389491125798</v>
      </c>
      <c r="AW120" s="908">
        <f t="shared" si="80"/>
        <v>0</v>
      </c>
      <c r="AX120" s="907">
        <f t="shared" si="91"/>
        <v>308.55544320309747</v>
      </c>
      <c r="AY120" s="907">
        <f t="shared" si="49"/>
        <v>17.767745586427193</v>
      </c>
      <c r="AZ120" s="909">
        <f t="shared" si="47"/>
        <v>11.845163724284795</v>
      </c>
      <c r="BB120" s="915">
        <f t="shared" si="81"/>
        <v>173.47400346080323</v>
      </c>
      <c r="BC120" s="916">
        <f t="shared" si="82"/>
        <v>82.85093183080464</v>
      </c>
      <c r="BD120" s="934">
        <f t="shared" si="90"/>
        <v>11.845163724284795</v>
      </c>
      <c r="BE120" s="916">
        <f t="shared" si="54"/>
        <v>268.17009901589267</v>
      </c>
      <c r="BF120" s="917">
        <v>0</v>
      </c>
      <c r="BG120" s="928">
        <f t="shared" si="83"/>
        <v>268.17009901589267</v>
      </c>
      <c r="BI120" s="915">
        <f t="shared" si="84"/>
        <v>173.47400346080323</v>
      </c>
      <c r="BJ120" s="916">
        <f t="shared" si="85"/>
        <v>82.85093183080464</v>
      </c>
      <c r="BK120" s="934">
        <f t="shared" si="86"/>
        <v>11.845163724284795</v>
      </c>
      <c r="BL120" s="916">
        <f t="shared" si="55"/>
        <v>268.17009901589267</v>
      </c>
      <c r="BM120" s="917">
        <v>0</v>
      </c>
      <c r="BN120" s="928">
        <f t="shared" si="87"/>
        <v>268.17009901589267</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 ref="A16:A18"/>
    <mergeCell ref="B16:B17"/>
    <mergeCell ref="C16:C17"/>
    <mergeCell ref="D16:D17"/>
    <mergeCell ref="E16:E17"/>
    <mergeCell ref="BB13:BG13"/>
    <mergeCell ref="BF16:BF17"/>
    <mergeCell ref="BG16:BG17"/>
    <mergeCell ref="BI13:BN13"/>
    <mergeCell ref="BI16:BI17"/>
    <mergeCell ref="BJ16:BJ17"/>
    <mergeCell ref="BK16:BK17"/>
    <mergeCell ref="BL16:BL17"/>
    <mergeCell ref="BM16:BM17"/>
    <mergeCell ref="BN16:BN1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6.5546875" customWidth="1"/>
    <col min="24" max="24" width="16.6640625"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4.33203125" customWidth="1"/>
    <col min="34" max="34" width="16.6640625"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5" max="55" width="11.109375" customWidth="1"/>
    <col min="56" max="56" width="8.33203125" style="930" customWidth="1"/>
    <col min="57" max="57" width="14.44140625" customWidth="1"/>
    <col min="59" max="59" width="12.33203125" customWidth="1"/>
    <col min="61" max="62" width="11.33203125" customWidth="1"/>
    <col min="63" max="63" width="11.33203125" style="930" customWidth="1"/>
    <col min="64" max="64" width="11.33203125" customWidth="1"/>
    <col min="65" max="65" width="10.66406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 thickBot="1">
      <c r="A14" s="134" t="s">
        <v>721</v>
      </c>
      <c r="B14" s="142"/>
      <c r="C14" s="142"/>
      <c r="D14" s="607">
        <f>'Waste Summary 2017 SASOW'!$L$26</f>
        <v>6.9875113374971584E-2</v>
      </c>
      <c r="E14" s="123"/>
      <c r="X14" s="1"/>
      <c r="AH14" s="1"/>
    </row>
    <row r="15" spans="1:66" ht="15" thickBot="1">
      <c r="N15" s="199" t="s">
        <v>267</v>
      </c>
      <c r="X15" s="2" t="s">
        <v>318</v>
      </c>
      <c r="AH15" s="2" t="s">
        <v>318</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899.79410413176493</v>
      </c>
      <c r="Y89" s="751">
        <f>Parameters!S259</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3'!AM179</f>
        <v>899.79410413176493</v>
      </c>
      <c r="AI89" s="751">
        <f>Parameters!S259</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59.308690000000006</v>
      </c>
      <c r="C90" s="728">
        <f>'Recycling - Case 3'!AK100/B90</f>
        <v>397.49323210110077</v>
      </c>
      <c r="D90" s="729">
        <f>'Recycling - Case 3'!AM100</f>
        <v>0.38289463315638228</v>
      </c>
      <c r="E90" s="729">
        <f>'Recycling - Case 3'!BE100</f>
        <v>0.22354491991078579</v>
      </c>
      <c r="F90" s="729">
        <f>'Recycling - Case 3'!BF100</f>
        <v>0.28351543553262054</v>
      </c>
      <c r="G90" s="729">
        <f>'Recycling - Case 3'!BG100</f>
        <v>6.1771817655591317E-2</v>
      </c>
      <c r="H90" s="729">
        <f>'Recycling - Case 3'!BH100</f>
        <v>0</v>
      </c>
      <c r="I90" s="729">
        <f>'Recycling - Case 3'!BI100</f>
        <v>0</v>
      </c>
      <c r="J90" s="729">
        <f>'Recycling - Case 3'!BJ100</f>
        <v>0</v>
      </c>
      <c r="K90" s="729">
        <f>'Recycling - Case 3'!BK100</f>
        <v>0.43116782690100253</v>
      </c>
      <c r="L90" s="730">
        <f t="shared" si="89"/>
        <v>1.0000000000000002</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3'!AM140</f>
        <v>696.79350839563915</v>
      </c>
      <c r="Y90" s="751">
        <f>Parameters!S260</f>
        <v>0.71500000000000008</v>
      </c>
      <c r="Z90" s="751">
        <f t="shared" si="63"/>
        <v>0.4</v>
      </c>
      <c r="AA90" s="752">
        <f t="shared" si="64"/>
        <v>99.641471700576417</v>
      </c>
      <c r="AB90" s="752">
        <f t="shared" si="65"/>
        <v>99.641471700576417</v>
      </c>
      <c r="AC90" s="753">
        <f t="shared" si="66"/>
        <v>0</v>
      </c>
      <c r="AD90" s="752">
        <f t="shared" si="67"/>
        <v>9797.1236362936961</v>
      </c>
      <c r="AE90" s="752">
        <f t="shared" si="68"/>
        <v>497.20054266562801</v>
      </c>
      <c r="AF90" s="754">
        <f t="shared" si="69"/>
        <v>331.46702844375199</v>
      </c>
      <c r="AH90" s="750">
        <f>'Recycling - Case 3'!AM180</f>
        <v>696.79350839563915</v>
      </c>
      <c r="AI90" s="751">
        <f>Parameters!S260</f>
        <v>0.71500000000000008</v>
      </c>
      <c r="AJ90" s="751">
        <f t="shared" si="70"/>
        <v>0.4</v>
      </c>
      <c r="AK90" s="752">
        <f t="shared" si="71"/>
        <v>99.641471700576417</v>
      </c>
      <c r="AL90" s="752">
        <f t="shared" si="72"/>
        <v>99.641471700576417</v>
      </c>
      <c r="AM90" s="753">
        <f t="shared" si="73"/>
        <v>0</v>
      </c>
      <c r="AN90" s="752">
        <f t="shared" si="74"/>
        <v>9797.1236362936961</v>
      </c>
      <c r="AO90" s="752">
        <f t="shared" si="75"/>
        <v>497.20054266562801</v>
      </c>
      <c r="AP90" s="754">
        <f t="shared" si="76"/>
        <v>331.46702844375199</v>
      </c>
      <c r="AR90" s="740">
        <f>'Recycling - Case 3'!G100</f>
        <v>559.3813349254624</v>
      </c>
      <c r="AS90" s="736">
        <v>1</v>
      </c>
      <c r="AT90" s="736">
        <f t="shared" si="77"/>
        <v>0.05</v>
      </c>
      <c r="AU90" s="734">
        <f t="shared" si="78"/>
        <v>13.984533373136561</v>
      </c>
      <c r="AV90" s="734">
        <f t="shared" si="79"/>
        <v>13.984533373136561</v>
      </c>
      <c r="AW90" s="737">
        <f t="shared" si="80"/>
        <v>0</v>
      </c>
      <c r="AX90" s="734">
        <f t="shared" si="44"/>
        <v>156.85327301283138</v>
      </c>
      <c r="AY90" s="734">
        <f t="shared" si="49"/>
        <v>8.8345094686068517</v>
      </c>
      <c r="AZ90" s="808">
        <f t="shared" si="47"/>
        <v>5.8896729790712348</v>
      </c>
      <c r="BB90" s="913">
        <f t="shared" si="81"/>
        <v>444.77283615219312</v>
      </c>
      <c r="BC90" s="914">
        <f t="shared" si="82"/>
        <v>331.46702844375199</v>
      </c>
      <c r="BD90" s="933">
        <f t="shared" si="90"/>
        <v>5.8896729790712348</v>
      </c>
      <c r="BE90" s="914">
        <f t="shared" si="54"/>
        <v>782.12953757501634</v>
      </c>
      <c r="BF90" s="145">
        <v>0</v>
      </c>
      <c r="BG90" s="927">
        <f t="shared" si="83"/>
        <v>782.12953757501634</v>
      </c>
      <c r="BI90" s="913">
        <f t="shared" si="84"/>
        <v>444.77283615219312</v>
      </c>
      <c r="BJ90" s="914">
        <f t="shared" si="85"/>
        <v>331.46702844375199</v>
      </c>
      <c r="BK90" s="933">
        <f t="shared" si="86"/>
        <v>5.8896729790712348</v>
      </c>
      <c r="BL90" s="914">
        <f t="shared" si="55"/>
        <v>782.12953757501634</v>
      </c>
      <c r="BM90" s="145">
        <v>0</v>
      </c>
      <c r="BN90" s="927">
        <f t="shared" si="87"/>
        <v>782.12953757501634</v>
      </c>
    </row>
    <row r="91" spans="1:73">
      <c r="A91" s="805">
        <f>'Input data'!A121</f>
        <v>2021</v>
      </c>
      <c r="B91" s="728">
        <f>'Input data'!B121</f>
        <v>59.991580449204264</v>
      </c>
      <c r="C91" s="728">
        <f>'Recycling - Case 3'!AK101/B91</f>
        <v>382.99573336469109</v>
      </c>
      <c r="D91" s="729">
        <f>'Recycling - Case 3'!AM101</f>
        <v>0.31526187030246827</v>
      </c>
      <c r="E91" s="729">
        <f>'Recycling - Case 3'!BE101</f>
        <v>0.19716607376836848</v>
      </c>
      <c r="F91" s="729">
        <f>'Recycling - Case 3'!BF101</f>
        <v>0.2500599221803147</v>
      </c>
      <c r="G91" s="729">
        <f>'Recycling - Case 3'!BG101</f>
        <v>6.8431683110624295E-2</v>
      </c>
      <c r="H91" s="729">
        <f>'Recycling - Case 3'!BH101</f>
        <v>0</v>
      </c>
      <c r="I91" s="729">
        <f>'Recycling - Case 3'!BI101</f>
        <v>0</v>
      </c>
      <c r="J91" s="729">
        <f>'Recycling - Case 3'!BJ101</f>
        <v>0</v>
      </c>
      <c r="K91" s="729">
        <f>'Recycling - Case 3'!BK101</f>
        <v>0.48434232094069229</v>
      </c>
      <c r="L91" s="730">
        <f t="shared" si="89"/>
        <v>0.99999999999999978</v>
      </c>
      <c r="N91" s="740">
        <f t="shared" si="56"/>
        <v>7243.6204632745166</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3'!AM141</f>
        <v>117.47688949488752</v>
      </c>
      <c r="Y91" s="751">
        <f>Parameters!S261</f>
        <v>0.71500000000000008</v>
      </c>
      <c r="Z91" s="751">
        <f t="shared" si="63"/>
        <v>0.4</v>
      </c>
      <c r="AA91" s="752">
        <f t="shared" si="64"/>
        <v>16.799195197768917</v>
      </c>
      <c r="AB91" s="752">
        <f t="shared" si="65"/>
        <v>16.799195197768917</v>
      </c>
      <c r="AC91" s="753">
        <f t="shared" si="66"/>
        <v>0</v>
      </c>
      <c r="AD91" s="752">
        <f t="shared" si="67"/>
        <v>9336.1114735117644</v>
      </c>
      <c r="AE91" s="752">
        <f t="shared" si="68"/>
        <v>477.81135797970097</v>
      </c>
      <c r="AF91" s="754">
        <f t="shared" si="69"/>
        <v>318.54090531980063</v>
      </c>
      <c r="AH91" s="750">
        <f>'Recycling - Case 3'!AM181</f>
        <v>117.47688949488752</v>
      </c>
      <c r="AI91" s="751">
        <f>Parameters!S261</f>
        <v>0.71500000000000008</v>
      </c>
      <c r="AJ91" s="751">
        <f t="shared" si="70"/>
        <v>0.4</v>
      </c>
      <c r="AK91" s="752">
        <f t="shared" si="71"/>
        <v>16.799195197768917</v>
      </c>
      <c r="AL91" s="752">
        <f t="shared" si="72"/>
        <v>16.799195197768917</v>
      </c>
      <c r="AM91" s="753">
        <f t="shared" si="73"/>
        <v>0</v>
      </c>
      <c r="AN91" s="752">
        <f t="shared" si="74"/>
        <v>9336.1114735117644</v>
      </c>
      <c r="AO91" s="752">
        <f t="shared" si="75"/>
        <v>477.81135797970097</v>
      </c>
      <c r="AP91" s="754">
        <f t="shared" si="76"/>
        <v>318.54090531980063</v>
      </c>
      <c r="AR91" s="740">
        <f>'Recycling - Case 3'!G101</f>
        <v>577.1781389317141</v>
      </c>
      <c r="AS91" s="736">
        <v>1</v>
      </c>
      <c r="AT91" s="736">
        <f t="shared" si="77"/>
        <v>0.05</v>
      </c>
      <c r="AU91" s="734">
        <f t="shared" si="78"/>
        <v>14.429453473292853</v>
      </c>
      <c r="AV91" s="734">
        <f t="shared" si="79"/>
        <v>14.429453473292853</v>
      </c>
      <c r="AW91" s="737">
        <f t="shared" si="80"/>
        <v>0</v>
      </c>
      <c r="AX91" s="734">
        <f t="shared" si="44"/>
        <v>162.14830297338483</v>
      </c>
      <c r="AY91" s="734">
        <f t="shared" si="49"/>
        <v>9.1344235127394082</v>
      </c>
      <c r="AZ91" s="808">
        <f t="shared" si="47"/>
        <v>6.0896156751596058</v>
      </c>
      <c r="BB91" s="913">
        <f t="shared" si="81"/>
        <v>436.44519342796008</v>
      </c>
      <c r="BC91" s="914">
        <f t="shared" si="82"/>
        <v>318.54090531980063</v>
      </c>
      <c r="BD91" s="933">
        <f t="shared" si="90"/>
        <v>6.0896156751596058</v>
      </c>
      <c r="BE91" s="914">
        <f t="shared" si="54"/>
        <v>761.07571442292033</v>
      </c>
      <c r="BF91" s="145">
        <v>0</v>
      </c>
      <c r="BG91" s="927">
        <f t="shared" si="83"/>
        <v>761.07571442292033</v>
      </c>
      <c r="BI91" s="913">
        <f t="shared" si="84"/>
        <v>436.44519342796008</v>
      </c>
      <c r="BJ91" s="914">
        <f t="shared" si="85"/>
        <v>318.54090531980063</v>
      </c>
      <c r="BK91" s="933">
        <f t="shared" si="86"/>
        <v>6.0896156751596058</v>
      </c>
      <c r="BL91" s="914">
        <f t="shared" si="55"/>
        <v>761.07571442292033</v>
      </c>
      <c r="BM91" s="145">
        <v>0</v>
      </c>
      <c r="BN91" s="927">
        <f t="shared" si="87"/>
        <v>761.07571442292033</v>
      </c>
    </row>
    <row r="92" spans="1:73">
      <c r="A92" s="805">
        <f>'Input data'!A122</f>
        <v>2022</v>
      </c>
      <c r="B92" s="728">
        <f>'Input data'!B122</f>
        <v>60.682333816399378</v>
      </c>
      <c r="C92" s="728">
        <f>'Recycling - Case 3'!AK102/B92</f>
        <v>357.3809169014288</v>
      </c>
      <c r="D92" s="729">
        <f>'Recycling - Case 3'!AM102</f>
        <v>0.25693229767920933</v>
      </c>
      <c r="E92" s="729">
        <f>'Recycling - Case 3'!BE102</f>
        <v>0.18290250130037575</v>
      </c>
      <c r="F92" s="729">
        <f>'Recycling - Case 3'!BF102</f>
        <v>0.2319698534722987</v>
      </c>
      <c r="G92" s="729">
        <f>'Recycling - Case 3'!BG102</f>
        <v>7.1510507677601323E-2</v>
      </c>
      <c r="H92" s="729">
        <f>'Recycling - Case 3'!BH102</f>
        <v>0</v>
      </c>
      <c r="I92" s="729">
        <f>'Recycling - Case 3'!BI102</f>
        <v>0</v>
      </c>
      <c r="J92" s="729">
        <f>'Recycling - Case 3'!BJ102</f>
        <v>0</v>
      </c>
      <c r="K92" s="729">
        <f>'Recycling - Case 3'!BK102</f>
        <v>0.51361713754972427</v>
      </c>
      <c r="L92" s="730">
        <f t="shared" si="89"/>
        <v>1</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0.10243354896055663</v>
      </c>
      <c r="Q92" s="734">
        <f t="shared" si="57"/>
        <v>237.96357706868272</v>
      </c>
      <c r="R92" s="734">
        <f t="shared" si="58"/>
        <v>237.96357706868272</v>
      </c>
      <c r="S92" s="737">
        <f t="shared" si="59"/>
        <v>0</v>
      </c>
      <c r="T92" s="734">
        <f t="shared" si="60"/>
        <v>12683.58798684069</v>
      </c>
      <c r="U92" s="734">
        <f t="shared" si="61"/>
        <v>638.10080857321782</v>
      </c>
      <c r="V92" s="741">
        <f t="shared" si="62"/>
        <v>425.40053904881188</v>
      </c>
      <c r="X92" s="750">
        <f>'Recycling - Case 3'!AM142</f>
        <v>0</v>
      </c>
      <c r="Y92" s="751">
        <f>Parameters!S262</f>
        <v>0.71500000000000008</v>
      </c>
      <c r="Z92" s="751">
        <f t="shared" si="63"/>
        <v>0.4</v>
      </c>
      <c r="AA92" s="752">
        <f t="shared" si="64"/>
        <v>0</v>
      </c>
      <c r="AB92" s="752">
        <f t="shared" si="65"/>
        <v>0</v>
      </c>
      <c r="AC92" s="753">
        <f t="shared" si="66"/>
        <v>0</v>
      </c>
      <c r="AD92" s="752">
        <f t="shared" si="67"/>
        <v>8880.7839440231091</v>
      </c>
      <c r="AE92" s="752">
        <f t="shared" si="68"/>
        <v>455.32752948865561</v>
      </c>
      <c r="AF92" s="754">
        <f t="shared" si="69"/>
        <v>303.55168632577039</v>
      </c>
      <c r="AH92" s="750">
        <f>'Recycling - Case 3'!AM182</f>
        <v>0</v>
      </c>
      <c r="AI92" s="751">
        <f>Parameters!S262</f>
        <v>0.71500000000000008</v>
      </c>
      <c r="AJ92" s="751">
        <f t="shared" si="70"/>
        <v>0.4</v>
      </c>
      <c r="AK92" s="752">
        <f t="shared" si="71"/>
        <v>0</v>
      </c>
      <c r="AL92" s="752">
        <f t="shared" si="72"/>
        <v>0</v>
      </c>
      <c r="AM92" s="753">
        <f t="shared" si="73"/>
        <v>0</v>
      </c>
      <c r="AN92" s="752">
        <f t="shared" si="74"/>
        <v>8880.7839440231091</v>
      </c>
      <c r="AO92" s="752">
        <f t="shared" si="75"/>
        <v>455.32752948865561</v>
      </c>
      <c r="AP92" s="754">
        <f t="shared" si="76"/>
        <v>303.55168632577039</v>
      </c>
      <c r="AR92" s="740">
        <f>'Recycling - Case 3'!G102</f>
        <v>595.31061323185247</v>
      </c>
      <c r="AS92" s="736">
        <v>1</v>
      </c>
      <c r="AT92" s="736">
        <f t="shared" si="77"/>
        <v>0.05</v>
      </c>
      <c r="AU92" s="734">
        <f t="shared" si="78"/>
        <v>14.882765330796312</v>
      </c>
      <c r="AV92" s="734">
        <f t="shared" si="79"/>
        <v>14.882765330796312</v>
      </c>
      <c r="AW92" s="737">
        <f t="shared" si="80"/>
        <v>0</v>
      </c>
      <c r="AX92" s="734">
        <f t="shared" si="44"/>
        <v>167.58828625200351</v>
      </c>
      <c r="AY92" s="734">
        <f t="shared" si="49"/>
        <v>9.4427820521776162</v>
      </c>
      <c r="AZ92" s="808">
        <f t="shared" si="47"/>
        <v>6.2951880347850775</v>
      </c>
      <c r="BB92" s="913">
        <f t="shared" si="81"/>
        <v>425.40053904881188</v>
      </c>
      <c r="BC92" s="914">
        <f t="shared" si="82"/>
        <v>303.55168632577039</v>
      </c>
      <c r="BD92" s="933">
        <f t="shared" si="90"/>
        <v>6.2951880347850775</v>
      </c>
      <c r="BE92" s="914">
        <f t="shared" si="54"/>
        <v>735.24741340936725</v>
      </c>
      <c r="BF92" s="145">
        <v>0</v>
      </c>
      <c r="BG92" s="927">
        <f t="shared" si="83"/>
        <v>735.24741340936725</v>
      </c>
      <c r="BI92" s="913">
        <f t="shared" si="84"/>
        <v>425.40053904881188</v>
      </c>
      <c r="BJ92" s="914">
        <f t="shared" si="85"/>
        <v>303.55168632577039</v>
      </c>
      <c r="BK92" s="933">
        <f t="shared" si="86"/>
        <v>6.2951880347850775</v>
      </c>
      <c r="BL92" s="914">
        <f t="shared" si="55"/>
        <v>735.24741340936725</v>
      </c>
      <c r="BM92" s="145">
        <v>0</v>
      </c>
      <c r="BN92" s="927">
        <f t="shared" si="87"/>
        <v>735.24741340936725</v>
      </c>
    </row>
    <row r="93" spans="1:73">
      <c r="A93" s="805">
        <f>'Input data'!A123</f>
        <v>2023</v>
      </c>
      <c r="B93" s="728">
        <f>'Input data'!B123</f>
        <v>61.381040636574369</v>
      </c>
      <c r="C93" s="728">
        <f>'Recycling - Case 3'!AK103/B93</f>
        <v>349.33248261682064</v>
      </c>
      <c r="D93" s="729">
        <f>'Recycling - Case 3'!AM103</f>
        <v>0.24426822179068367</v>
      </c>
      <c r="E93" s="729">
        <f>'Recycling - Case 3'!BE103</f>
        <v>0.18636100272049838</v>
      </c>
      <c r="F93" s="729">
        <f>'Recycling - Case 3'!BF103</f>
        <v>0.23635616892427852</v>
      </c>
      <c r="G93" s="729">
        <f>'Recycling - Case 3'!BG103</f>
        <v>6.9596401833593682E-2</v>
      </c>
      <c r="H93" s="729">
        <f>'Recycling - Case 3'!BH103</f>
        <v>0</v>
      </c>
      <c r="I93" s="729">
        <f>'Recycling - Case 3'!BI103</f>
        <v>0</v>
      </c>
      <c r="J93" s="729">
        <f>'Recycling - Case 3'!BJ103</f>
        <v>0</v>
      </c>
      <c r="K93" s="729">
        <f>'Recycling - Case 3'!BK103</f>
        <v>0.50768642652162943</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0.10306394492636793</v>
      </c>
      <c r="Q93" s="734">
        <f t="shared" si="57"/>
        <v>230.66816508590523</v>
      </c>
      <c r="R93" s="734">
        <f t="shared" si="58"/>
        <v>230.66816508590523</v>
      </c>
      <c r="S93" s="737">
        <f t="shared" si="59"/>
        <v>0</v>
      </c>
      <c r="T93" s="734">
        <f t="shared" si="60"/>
        <v>12295.670266412544</v>
      </c>
      <c r="U93" s="734">
        <f t="shared" si="61"/>
        <v>618.58588551405057</v>
      </c>
      <c r="V93" s="741">
        <f t="shared" si="62"/>
        <v>412.39059034270036</v>
      </c>
      <c r="X93" s="750">
        <f>'Recycling - Case 3'!AM143</f>
        <v>0</v>
      </c>
      <c r="Y93" s="751">
        <f>Parameters!S263</f>
        <v>0.71500000000000008</v>
      </c>
      <c r="Z93" s="751">
        <f t="shared" si="63"/>
        <v>0.4</v>
      </c>
      <c r="AA93" s="752">
        <f t="shared" si="64"/>
        <v>0</v>
      </c>
      <c r="AB93" s="752">
        <f t="shared" si="65"/>
        <v>0</v>
      </c>
      <c r="AC93" s="753">
        <f t="shared" si="66"/>
        <v>0</v>
      </c>
      <c r="AD93" s="752">
        <f t="shared" si="67"/>
        <v>8447.6630001882841</v>
      </c>
      <c r="AE93" s="752">
        <f t="shared" si="68"/>
        <v>433.12094383482582</v>
      </c>
      <c r="AF93" s="754">
        <f t="shared" si="69"/>
        <v>288.7472958898839</v>
      </c>
      <c r="AH93" s="750">
        <f>'Recycling - Case 3'!AM183</f>
        <v>0</v>
      </c>
      <c r="AI93" s="751">
        <f>Parameters!S263</f>
        <v>0.71500000000000008</v>
      </c>
      <c r="AJ93" s="751">
        <f t="shared" si="70"/>
        <v>0.4</v>
      </c>
      <c r="AK93" s="752">
        <f t="shared" si="71"/>
        <v>0</v>
      </c>
      <c r="AL93" s="752">
        <f t="shared" si="72"/>
        <v>0</v>
      </c>
      <c r="AM93" s="753">
        <f t="shared" si="73"/>
        <v>0</v>
      </c>
      <c r="AN93" s="752">
        <f t="shared" si="74"/>
        <v>8447.6630001882841</v>
      </c>
      <c r="AO93" s="752">
        <f t="shared" si="75"/>
        <v>433.12094383482582</v>
      </c>
      <c r="AP93" s="754">
        <f t="shared" si="76"/>
        <v>288.7472958898839</v>
      </c>
      <c r="AR93" s="740">
        <f>'Recycling - Case 3'!G103</f>
        <v>613.78412832495871</v>
      </c>
      <c r="AS93" s="736">
        <v>1</v>
      </c>
      <c r="AT93" s="736">
        <f t="shared" si="77"/>
        <v>0.05</v>
      </c>
      <c r="AU93" s="734">
        <f t="shared" si="78"/>
        <v>15.344603208123969</v>
      </c>
      <c r="AV93" s="734">
        <f t="shared" si="79"/>
        <v>15.344603208123969</v>
      </c>
      <c r="AW93" s="737">
        <f t="shared" si="80"/>
        <v>0</v>
      </c>
      <c r="AX93" s="734">
        <f t="shared" si="44"/>
        <v>173.17330744442563</v>
      </c>
      <c r="AY93" s="734">
        <f t="shared" si="49"/>
        <v>9.7595820157018629</v>
      </c>
      <c r="AZ93" s="808">
        <f t="shared" si="47"/>
        <v>6.5063880104679086</v>
      </c>
      <c r="BB93" s="913">
        <f t="shared" si="81"/>
        <v>412.39059034270036</v>
      </c>
      <c r="BC93" s="914">
        <f t="shared" si="82"/>
        <v>288.7472958898839</v>
      </c>
      <c r="BD93" s="933">
        <f t="shared" si="90"/>
        <v>6.5063880104679086</v>
      </c>
      <c r="BE93" s="914">
        <f t="shared" si="54"/>
        <v>707.64427424305222</v>
      </c>
      <c r="BF93" s="145">
        <v>0</v>
      </c>
      <c r="BG93" s="927">
        <f t="shared" si="83"/>
        <v>707.64427424305222</v>
      </c>
      <c r="BI93" s="913">
        <f t="shared" si="84"/>
        <v>412.39059034270036</v>
      </c>
      <c r="BJ93" s="914">
        <f t="shared" si="85"/>
        <v>288.7472958898839</v>
      </c>
      <c r="BK93" s="933">
        <f t="shared" si="86"/>
        <v>6.5063880104679086</v>
      </c>
      <c r="BL93" s="914">
        <f t="shared" si="55"/>
        <v>707.64427424305222</v>
      </c>
      <c r="BM93" s="145">
        <v>0</v>
      </c>
      <c r="BN93" s="927">
        <f t="shared" si="87"/>
        <v>707.64427424305222</v>
      </c>
    </row>
    <row r="94" spans="1:73">
      <c r="A94" s="805">
        <f>'Input data'!A124</f>
        <v>2024</v>
      </c>
      <c r="B94" s="728">
        <f>'Input data'!B124</f>
        <v>62.087792487153699</v>
      </c>
      <c r="C94" s="728">
        <f>'Recycling - Case 3'!AK104/B94</f>
        <v>341.44831989252719</v>
      </c>
      <c r="D94" s="729">
        <f>'Recycling - Case 3'!AM104</f>
        <v>0.23129370223762682</v>
      </c>
      <c r="E94" s="729">
        <f>'Recycling - Case 3'!BE104</f>
        <v>0.18986963377374966</v>
      </c>
      <c r="F94" s="729">
        <f>'Recycling - Case 3'!BF104</f>
        <v>0.24080606231296661</v>
      </c>
      <c r="G94" s="729">
        <f>'Recycling - Case 3'!BG104</f>
        <v>6.7651152559246586E-2</v>
      </c>
      <c r="H94" s="729">
        <f>'Recycling - Case 3'!BH104</f>
        <v>0</v>
      </c>
      <c r="I94" s="729">
        <f>'Recycling - Case 3'!BI104</f>
        <v>0</v>
      </c>
      <c r="J94" s="729">
        <f>'Recycling - Case 3'!BJ104</f>
        <v>0</v>
      </c>
      <c r="K94" s="729">
        <f>'Recycling - Case 3'!BK104</f>
        <v>0.50167315135403667</v>
      </c>
      <c r="L94" s="730">
        <f t="shared" si="89"/>
        <v>0.99999999999999956</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0.10370211855235441</v>
      </c>
      <c r="Q94" s="734">
        <f t="shared" si="57"/>
        <v>222.56227381228351</v>
      </c>
      <c r="R94" s="734">
        <f t="shared" si="58"/>
        <v>222.56227381228351</v>
      </c>
      <c r="S94" s="737">
        <f t="shared" si="59"/>
        <v>0</v>
      </c>
      <c r="T94" s="734">
        <f t="shared" si="60"/>
        <v>11918.565625182429</v>
      </c>
      <c r="U94" s="734">
        <f t="shared" si="61"/>
        <v>599.66691504239884</v>
      </c>
      <c r="V94" s="741">
        <f t="shared" si="62"/>
        <v>399.77794336159923</v>
      </c>
      <c r="X94" s="750">
        <f>'Recycling - Case 3'!AM144</f>
        <v>0</v>
      </c>
      <c r="Y94" s="751">
        <f>Parameters!S264</f>
        <v>0.71500000000000008</v>
      </c>
      <c r="Z94" s="751">
        <f t="shared" si="63"/>
        <v>0.4</v>
      </c>
      <c r="AA94" s="752">
        <f t="shared" si="64"/>
        <v>0</v>
      </c>
      <c r="AB94" s="752">
        <f t="shared" si="65"/>
        <v>0</v>
      </c>
      <c r="AC94" s="753">
        <f t="shared" si="66"/>
        <v>0</v>
      </c>
      <c r="AD94" s="752">
        <f t="shared" si="67"/>
        <v>8035.6656140450768</v>
      </c>
      <c r="AE94" s="752">
        <f t="shared" si="68"/>
        <v>411.99738614320745</v>
      </c>
      <c r="AF94" s="754">
        <f t="shared" si="69"/>
        <v>274.66492409547163</v>
      </c>
      <c r="AH94" s="750">
        <f>'Recycling - Case 3'!AM184</f>
        <v>0</v>
      </c>
      <c r="AI94" s="751">
        <f>Parameters!S264</f>
        <v>0.71500000000000008</v>
      </c>
      <c r="AJ94" s="751">
        <f t="shared" si="70"/>
        <v>0.4</v>
      </c>
      <c r="AK94" s="752">
        <f t="shared" si="71"/>
        <v>0</v>
      </c>
      <c r="AL94" s="752">
        <f t="shared" si="72"/>
        <v>0</v>
      </c>
      <c r="AM94" s="753">
        <f t="shared" si="73"/>
        <v>0</v>
      </c>
      <c r="AN94" s="752">
        <f t="shared" si="74"/>
        <v>8035.6656140450768</v>
      </c>
      <c r="AO94" s="752">
        <f t="shared" si="75"/>
        <v>411.99738614320745</v>
      </c>
      <c r="AP94" s="754">
        <f t="shared" si="76"/>
        <v>274.66492409547163</v>
      </c>
      <c r="AR94" s="740">
        <f>'Recycling - Case 3'!G104</f>
        <v>632.60413388193626</v>
      </c>
      <c r="AS94" s="736">
        <v>1</v>
      </c>
      <c r="AT94" s="736">
        <f t="shared" si="77"/>
        <v>0.05</v>
      </c>
      <c r="AU94" s="734">
        <f t="shared" si="78"/>
        <v>15.815103347048407</v>
      </c>
      <c r="AV94" s="734">
        <f t="shared" si="79"/>
        <v>15.815103347048407</v>
      </c>
      <c r="AW94" s="737">
        <f t="shared" si="80"/>
        <v>0</v>
      </c>
      <c r="AX94" s="734">
        <f t="shared" si="44"/>
        <v>178.90358246168961</v>
      </c>
      <c r="AY94" s="734">
        <f t="shared" si="49"/>
        <v>10.08482832978442</v>
      </c>
      <c r="AZ94" s="808">
        <f t="shared" si="47"/>
        <v>6.7232188865229467</v>
      </c>
      <c r="BB94" s="913">
        <f t="shared" si="81"/>
        <v>399.77794336159923</v>
      </c>
      <c r="BC94" s="914">
        <f t="shared" si="82"/>
        <v>274.66492409547163</v>
      </c>
      <c r="BD94" s="933">
        <f t="shared" si="90"/>
        <v>6.7232188865229467</v>
      </c>
      <c r="BE94" s="914">
        <f t="shared" si="54"/>
        <v>681.16608634359386</v>
      </c>
      <c r="BF94" s="145">
        <v>0</v>
      </c>
      <c r="BG94" s="927">
        <f t="shared" si="83"/>
        <v>681.16608634359386</v>
      </c>
      <c r="BI94" s="913">
        <f t="shared" si="84"/>
        <v>399.77794336159923</v>
      </c>
      <c r="BJ94" s="914">
        <f t="shared" si="85"/>
        <v>274.66492409547163</v>
      </c>
      <c r="BK94" s="933">
        <f t="shared" si="86"/>
        <v>6.7232188865229467</v>
      </c>
      <c r="BL94" s="914">
        <f t="shared" si="55"/>
        <v>681.16608634359386</v>
      </c>
      <c r="BM94" s="145">
        <v>0</v>
      </c>
      <c r="BN94" s="927">
        <f t="shared" si="87"/>
        <v>681.16608634359386</v>
      </c>
    </row>
    <row r="95" spans="1:73">
      <c r="A95" s="805">
        <f>'Input data'!A125</f>
        <v>2025</v>
      </c>
      <c r="B95" s="728">
        <f>'Input data'!B125</f>
        <v>62.802682000000026</v>
      </c>
      <c r="C95" s="728">
        <f>'Recycling - Case 3'!AK105/B95</f>
        <v>333.72523472030412</v>
      </c>
      <c r="D95" s="729">
        <f>'Recycling - Case 3'!AM105</f>
        <v>0.21800123256124831</v>
      </c>
      <c r="E95" s="729">
        <f>'Recycling - Case 3'!BE105</f>
        <v>0.19343040664681491</v>
      </c>
      <c r="F95" s="729">
        <f>'Recycling - Case 3'!BF105</f>
        <v>0.24532208563545013</v>
      </c>
      <c r="G95" s="729">
        <f>'Recycling - Case 3'!BG105</f>
        <v>6.5673591883493782E-2</v>
      </c>
      <c r="H95" s="729">
        <f>'Recycling - Case 3'!BH105</f>
        <v>0</v>
      </c>
      <c r="I95" s="729">
        <f>'Recycling - Case 3'!BI105</f>
        <v>0</v>
      </c>
      <c r="J95" s="729">
        <f>'Recycling - Case 3'!BJ105</f>
        <v>0</v>
      </c>
      <c r="K95" s="729">
        <f>'Recycling - Case 3'!BK105</f>
        <v>0.49557391583424132</v>
      </c>
      <c r="L95" s="730">
        <f t="shared" si="89"/>
        <v>1.0000000000000002</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0.10434841487750979</v>
      </c>
      <c r="Q95" s="734">
        <f t="shared" si="57"/>
        <v>213.6311708022838</v>
      </c>
      <c r="R95" s="734">
        <f t="shared" si="58"/>
        <v>213.6311708022838</v>
      </c>
      <c r="S95" s="737">
        <f t="shared" si="59"/>
        <v>0</v>
      </c>
      <c r="T95" s="734">
        <f t="shared" si="60"/>
        <v>11550.921491318559</v>
      </c>
      <c r="U95" s="734">
        <f t="shared" si="61"/>
        <v>581.27530466615428</v>
      </c>
      <c r="V95" s="741">
        <f t="shared" si="62"/>
        <v>387.51686977743617</v>
      </c>
      <c r="X95" s="750">
        <f>'Recycling - Case 3'!AM145</f>
        <v>0</v>
      </c>
      <c r="Y95" s="751">
        <f>Parameters!S265</f>
        <v>0.71500000000000008</v>
      </c>
      <c r="Z95" s="751">
        <f t="shared" si="63"/>
        <v>0.4</v>
      </c>
      <c r="AA95" s="752">
        <f t="shared" si="64"/>
        <v>0</v>
      </c>
      <c r="AB95" s="752">
        <f t="shared" si="65"/>
        <v>0</v>
      </c>
      <c r="AC95" s="753">
        <f t="shared" si="66"/>
        <v>0</v>
      </c>
      <c r="AD95" s="752">
        <f t="shared" si="67"/>
        <v>7643.7615775282748</v>
      </c>
      <c r="AE95" s="752">
        <f t="shared" si="68"/>
        <v>391.90403651680168</v>
      </c>
      <c r="AF95" s="754">
        <f t="shared" si="69"/>
        <v>261.26935767786779</v>
      </c>
      <c r="AH95" s="750">
        <f>'Recycling - Case 3'!AM185</f>
        <v>0</v>
      </c>
      <c r="AI95" s="751">
        <f>Parameters!S265</f>
        <v>0.71500000000000008</v>
      </c>
      <c r="AJ95" s="751">
        <f t="shared" si="70"/>
        <v>0.4</v>
      </c>
      <c r="AK95" s="752">
        <f t="shared" si="71"/>
        <v>0</v>
      </c>
      <c r="AL95" s="752">
        <f t="shared" si="72"/>
        <v>0</v>
      </c>
      <c r="AM95" s="753">
        <f t="shared" si="73"/>
        <v>0</v>
      </c>
      <c r="AN95" s="752">
        <f t="shared" si="74"/>
        <v>7643.7615775282748</v>
      </c>
      <c r="AO95" s="752">
        <f t="shared" si="75"/>
        <v>391.90403651680168</v>
      </c>
      <c r="AP95" s="754">
        <f t="shared" si="76"/>
        <v>261.26935767786779</v>
      </c>
      <c r="AR95" s="740">
        <f>'Recycling - Case 3'!G105</f>
        <v>651.77615985670707</v>
      </c>
      <c r="AS95" s="736">
        <v>1</v>
      </c>
      <c r="AT95" s="736">
        <f t="shared" si="77"/>
        <v>0.05</v>
      </c>
      <c r="AU95" s="734">
        <f t="shared" si="78"/>
        <v>16.294403996417678</v>
      </c>
      <c r="AV95" s="734">
        <f t="shared" si="79"/>
        <v>16.294403996417678</v>
      </c>
      <c r="AW95" s="737">
        <f t="shared" si="80"/>
        <v>0</v>
      </c>
      <c r="AX95" s="734">
        <f t="shared" si="44"/>
        <v>184.77945289000198</v>
      </c>
      <c r="AY95" s="734">
        <f t="shared" si="49"/>
        <v>10.418533568105316</v>
      </c>
      <c r="AZ95" s="808">
        <f t="shared" si="47"/>
        <v>6.9456890454035438</v>
      </c>
      <c r="BB95" s="913">
        <f t="shared" si="81"/>
        <v>387.51686977743617</v>
      </c>
      <c r="BC95" s="914">
        <f t="shared" si="82"/>
        <v>261.26935767786779</v>
      </c>
      <c r="BD95" s="933">
        <f t="shared" si="90"/>
        <v>6.9456890454035438</v>
      </c>
      <c r="BE95" s="914">
        <f t="shared" si="54"/>
        <v>655.7319165007076</v>
      </c>
      <c r="BF95" s="145">
        <v>0</v>
      </c>
      <c r="BG95" s="927">
        <f t="shared" si="83"/>
        <v>655.7319165007076</v>
      </c>
      <c r="BI95" s="913">
        <f t="shared" si="84"/>
        <v>387.51686977743617</v>
      </c>
      <c r="BJ95" s="914">
        <f t="shared" si="85"/>
        <v>261.26935767786779</v>
      </c>
      <c r="BK95" s="933">
        <f t="shared" si="86"/>
        <v>6.9456890454035438</v>
      </c>
      <c r="BL95" s="914">
        <f t="shared" si="55"/>
        <v>655.7319165007076</v>
      </c>
      <c r="BM95" s="145">
        <v>0</v>
      </c>
      <c r="BN95" s="927">
        <f t="shared" si="87"/>
        <v>655.7319165007076</v>
      </c>
    </row>
    <row r="96" spans="1:73">
      <c r="A96" s="805">
        <f>'Input data'!A126</f>
        <v>2026</v>
      </c>
      <c r="B96" s="728">
        <f>'Input data'!B126</f>
        <v>63.421065342005143</v>
      </c>
      <c r="C96" s="728">
        <f>'Recycling - Case 3'!AK106/B96</f>
        <v>326.49534137552507</v>
      </c>
      <c r="D96" s="729">
        <f>'Recycling - Case 3'!AM106</f>
        <v>0.20451040324022446</v>
      </c>
      <c r="E96" s="729">
        <f>'Recycling - Case 3'!BE106</f>
        <v>0.19690110218745824</v>
      </c>
      <c r="F96" s="729">
        <f>'Recycling - Case 3'!BF106</f>
        <v>0.24972386653120623</v>
      </c>
      <c r="G96" s="729">
        <f>'Recycling - Case 3'!BG106</f>
        <v>6.3700184645464952E-2</v>
      </c>
      <c r="H96" s="729">
        <f>'Recycling - Case 3'!BH106</f>
        <v>0</v>
      </c>
      <c r="I96" s="729">
        <f>'Recycling - Case 3'!BI106</f>
        <v>0</v>
      </c>
      <c r="J96" s="729">
        <f>'Recycling - Case 3'!BJ106</f>
        <v>0</v>
      </c>
      <c r="K96" s="729">
        <f>'Recycling - Case 3'!BK106</f>
        <v>0.48967484663587058</v>
      </c>
      <c r="L96" s="730">
        <f t="shared" si="89"/>
        <v>1</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0.10496001249254597</v>
      </c>
      <c r="Q96" s="734">
        <f t="shared" si="57"/>
        <v>203.77584751812222</v>
      </c>
      <c r="R96" s="734">
        <f t="shared" si="58"/>
        <v>203.77584751812222</v>
      </c>
      <c r="S96" s="737">
        <f t="shared" si="59"/>
        <v>0</v>
      </c>
      <c r="T96" s="734">
        <f t="shared" si="60"/>
        <v>11191.352250158003</v>
      </c>
      <c r="U96" s="734">
        <f t="shared" si="61"/>
        <v>563.3450886786768</v>
      </c>
      <c r="V96" s="741">
        <f t="shared" si="62"/>
        <v>375.56339245245118</v>
      </c>
      <c r="X96" s="750">
        <f>'Recycling - Case 3'!AM146</f>
        <v>0</v>
      </c>
      <c r="Y96" s="751">
        <f>Parameters!S266</f>
        <v>0.71500000000000008</v>
      </c>
      <c r="Z96" s="751">
        <f t="shared" si="63"/>
        <v>0.4</v>
      </c>
      <c r="AA96" s="752">
        <f t="shared" si="64"/>
        <v>0</v>
      </c>
      <c r="AB96" s="752">
        <f t="shared" si="65"/>
        <v>0</v>
      </c>
      <c r="AC96" s="753">
        <f t="shared" si="66"/>
        <v>0</v>
      </c>
      <c r="AD96" s="752">
        <f t="shared" si="67"/>
        <v>7270.9709264128905</v>
      </c>
      <c r="AE96" s="752">
        <f t="shared" si="68"/>
        <v>372.79065111538404</v>
      </c>
      <c r="AF96" s="754">
        <f t="shared" si="69"/>
        <v>248.52710074358936</v>
      </c>
      <c r="AH96" s="750">
        <f>'Recycling - Case 3'!AM186</f>
        <v>0</v>
      </c>
      <c r="AI96" s="751">
        <f>Parameters!S266</f>
        <v>0.71500000000000008</v>
      </c>
      <c r="AJ96" s="751">
        <f t="shared" si="70"/>
        <v>0.4</v>
      </c>
      <c r="AK96" s="752">
        <f t="shared" si="71"/>
        <v>0</v>
      </c>
      <c r="AL96" s="752">
        <f t="shared" si="72"/>
        <v>0</v>
      </c>
      <c r="AM96" s="753">
        <f t="shared" si="73"/>
        <v>0</v>
      </c>
      <c r="AN96" s="752">
        <f t="shared" si="74"/>
        <v>7270.9709264128905</v>
      </c>
      <c r="AO96" s="752">
        <f t="shared" si="75"/>
        <v>372.79065111538404</v>
      </c>
      <c r="AP96" s="754">
        <f t="shared" si="76"/>
        <v>248.52710074358936</v>
      </c>
      <c r="AR96" s="740">
        <f>'Recycling - Case 3'!G106</f>
        <v>670.19900886595155</v>
      </c>
      <c r="AS96" s="736">
        <v>1</v>
      </c>
      <c r="AT96" s="736">
        <f t="shared" si="77"/>
        <v>0.05</v>
      </c>
      <c r="AU96" s="734">
        <f t="shared" si="78"/>
        <v>16.754975221648788</v>
      </c>
      <c r="AV96" s="734">
        <f t="shared" si="79"/>
        <v>16.754975221648788</v>
      </c>
      <c r="AW96" s="737">
        <f t="shared" si="80"/>
        <v>0</v>
      </c>
      <c r="AX96" s="734">
        <f t="shared" si="44"/>
        <v>190.77371048855414</v>
      </c>
      <c r="AY96" s="734">
        <f t="shared" si="49"/>
        <v>10.760717623096607</v>
      </c>
      <c r="AZ96" s="808">
        <f t="shared" si="47"/>
        <v>7.1738117487310715</v>
      </c>
      <c r="BB96" s="913">
        <f t="shared" si="81"/>
        <v>375.56339245245118</v>
      </c>
      <c r="BC96" s="914">
        <f t="shared" si="82"/>
        <v>248.52710074358936</v>
      </c>
      <c r="BD96" s="933">
        <f t="shared" si="90"/>
        <v>7.1738117487310715</v>
      </c>
      <c r="BE96" s="914">
        <f t="shared" si="54"/>
        <v>631.26430494477165</v>
      </c>
      <c r="BF96" s="145">
        <v>0</v>
      </c>
      <c r="BG96" s="927">
        <f t="shared" si="83"/>
        <v>631.26430494477165</v>
      </c>
      <c r="BI96" s="913">
        <f t="shared" si="84"/>
        <v>375.56339245245118</v>
      </c>
      <c r="BJ96" s="914">
        <f t="shared" si="85"/>
        <v>248.52710074358936</v>
      </c>
      <c r="BK96" s="933">
        <f t="shared" si="86"/>
        <v>7.1738117487310715</v>
      </c>
      <c r="BL96" s="914">
        <f t="shared" si="55"/>
        <v>631.26430494477165</v>
      </c>
      <c r="BM96" s="145">
        <v>0</v>
      </c>
      <c r="BN96" s="927">
        <f t="shared" si="87"/>
        <v>631.26430494477165</v>
      </c>
    </row>
    <row r="97" spans="1:66">
      <c r="A97" s="805">
        <f>'Input data'!A127</f>
        <v>2027</v>
      </c>
      <c r="B97" s="728">
        <f>'Input data'!B127</f>
        <v>64.045537563425796</v>
      </c>
      <c r="C97" s="728">
        <f>'Recycling - Case 3'!AK107/B97</f>
        <v>319.38789989359691</v>
      </c>
      <c r="D97" s="729">
        <f>'Recycling - Case 3'!AM107</f>
        <v>0.19067907685240901</v>
      </c>
      <c r="E97" s="729">
        <f>'Recycling - Case 3'!BE107</f>
        <v>0.20043273956918531</v>
      </c>
      <c r="F97" s="729">
        <f>'Recycling - Case 3'!BF107</f>
        <v>0.25420293816845591</v>
      </c>
      <c r="G97" s="729">
        <f>'Recycling - Case 3'!BG107</f>
        <v>6.1689515064928709E-2</v>
      </c>
      <c r="H97" s="729">
        <f>'Recycling - Case 3'!BH107</f>
        <v>0</v>
      </c>
      <c r="I97" s="729">
        <f>'Recycling - Case 3'!BI107</f>
        <v>0</v>
      </c>
      <c r="J97" s="729">
        <f>'Recycling - Case 3'!BJ107</f>
        <v>0</v>
      </c>
      <c r="K97" s="729">
        <f>'Recycling - Case 3'!BK107</f>
        <v>0.48367480719743011</v>
      </c>
      <c r="L97" s="730">
        <f t="shared" si="89"/>
        <v>1</v>
      </c>
      <c r="N97" s="740">
        <f t="shared" si="56"/>
        <v>3900.4110186862781</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0.10558130459504046</v>
      </c>
      <c r="Q97" s="734">
        <f t="shared" si="57"/>
        <v>193.07576144773344</v>
      </c>
      <c r="R97" s="734">
        <f t="shared" si="58"/>
        <v>193.07576144773344</v>
      </c>
      <c r="S97" s="737">
        <f t="shared" si="59"/>
        <v>0</v>
      </c>
      <c r="T97" s="734">
        <f t="shared" si="60"/>
        <v>10838.619321750301</v>
      </c>
      <c r="U97" s="734">
        <f t="shared" si="61"/>
        <v>545.80868985543498</v>
      </c>
      <c r="V97" s="741">
        <f t="shared" si="62"/>
        <v>363.87245990362334</v>
      </c>
      <c r="X97" s="750">
        <f>'Recycling - Case 3'!AM147</f>
        <v>0</v>
      </c>
      <c r="Y97" s="751">
        <f>Parameters!S267</f>
        <v>0.71500000000000008</v>
      </c>
      <c r="Z97" s="751">
        <f t="shared" si="63"/>
        <v>0.4</v>
      </c>
      <c r="AA97" s="752">
        <f t="shared" si="64"/>
        <v>0</v>
      </c>
      <c r="AB97" s="752">
        <f t="shared" si="65"/>
        <v>0</v>
      </c>
      <c r="AC97" s="753">
        <f t="shared" si="66"/>
        <v>0</v>
      </c>
      <c r="AD97" s="752">
        <f t="shared" si="67"/>
        <v>6916.3614898931573</v>
      </c>
      <c r="AE97" s="752">
        <f t="shared" si="68"/>
        <v>354.60943651973321</v>
      </c>
      <c r="AF97" s="754">
        <f t="shared" si="69"/>
        <v>236.40629101315548</v>
      </c>
      <c r="AH97" s="750">
        <f>'Recycling - Case 3'!AM187</f>
        <v>0</v>
      </c>
      <c r="AI97" s="751">
        <f>Parameters!S267</f>
        <v>0.71500000000000008</v>
      </c>
      <c r="AJ97" s="751">
        <f t="shared" si="70"/>
        <v>0.4</v>
      </c>
      <c r="AK97" s="752">
        <f t="shared" si="71"/>
        <v>0</v>
      </c>
      <c r="AL97" s="752">
        <f t="shared" si="72"/>
        <v>0</v>
      </c>
      <c r="AM97" s="753">
        <f t="shared" si="73"/>
        <v>0</v>
      </c>
      <c r="AN97" s="752">
        <f t="shared" si="74"/>
        <v>6916.3614898931573</v>
      </c>
      <c r="AO97" s="752">
        <f t="shared" si="75"/>
        <v>354.60943651973321</v>
      </c>
      <c r="AP97" s="754">
        <f t="shared" si="76"/>
        <v>236.40629101315548</v>
      </c>
      <c r="AR97" s="740">
        <f>'Recycling - Case 3'!G107</f>
        <v>688.92146577149424</v>
      </c>
      <c r="AS97" s="736">
        <v>1</v>
      </c>
      <c r="AT97" s="736">
        <f t="shared" si="77"/>
        <v>0.05</v>
      </c>
      <c r="AU97" s="734">
        <f t="shared" si="78"/>
        <v>17.223036644287358</v>
      </c>
      <c r="AV97" s="734">
        <f t="shared" si="79"/>
        <v>17.223036644287358</v>
      </c>
      <c r="AW97" s="737">
        <f t="shared" si="80"/>
        <v>0</v>
      </c>
      <c r="AX97" s="734">
        <f t="shared" si="44"/>
        <v>196.88695112267706</v>
      </c>
      <c r="AY97" s="734">
        <f t="shared" si="49"/>
        <v>11.109796010164454</v>
      </c>
      <c r="AZ97" s="808">
        <f t="shared" si="47"/>
        <v>7.406530673442969</v>
      </c>
      <c r="BB97" s="913">
        <f t="shared" si="81"/>
        <v>363.87245990362334</v>
      </c>
      <c r="BC97" s="914">
        <f t="shared" si="82"/>
        <v>236.40629101315548</v>
      </c>
      <c r="BD97" s="933">
        <f t="shared" si="90"/>
        <v>7.406530673442969</v>
      </c>
      <c r="BE97" s="914">
        <f t="shared" si="54"/>
        <v>607.68528159022173</v>
      </c>
      <c r="BF97" s="145">
        <v>0</v>
      </c>
      <c r="BG97" s="927">
        <f t="shared" si="83"/>
        <v>607.68528159022173</v>
      </c>
      <c r="BI97" s="913">
        <f t="shared" si="84"/>
        <v>363.87245990362334</v>
      </c>
      <c r="BJ97" s="914">
        <f t="shared" si="85"/>
        <v>236.40629101315548</v>
      </c>
      <c r="BK97" s="933">
        <f t="shared" si="86"/>
        <v>7.406530673442969</v>
      </c>
      <c r="BL97" s="914">
        <f t="shared" si="55"/>
        <v>607.68528159022173</v>
      </c>
      <c r="BM97" s="145">
        <v>0</v>
      </c>
      <c r="BN97" s="927">
        <f t="shared" si="87"/>
        <v>607.68528159022173</v>
      </c>
    </row>
    <row r="98" spans="1:66">
      <c r="A98" s="805">
        <f>'Input data'!A128</f>
        <v>2028</v>
      </c>
      <c r="B98" s="728">
        <f>'Input data'!B128</f>
        <v>64.676158618096451</v>
      </c>
      <c r="C98" s="728">
        <f>'Recycling - Case 3'!AK108/B98</f>
        <v>312.40049312460883</v>
      </c>
      <c r="D98" s="729">
        <f>'Recycling - Case 3'!AM108</f>
        <v>0.17649661494683172</v>
      </c>
      <c r="E98" s="729">
        <f>'Recycling - Case 3'!BE108</f>
        <v>0.20402762314460737</v>
      </c>
      <c r="F98" s="729">
        <f>'Recycling - Case 3'!BF108</f>
        <v>0.25876222308972174</v>
      </c>
      <c r="G98" s="729">
        <f>'Recycling - Case 3'!BG108</f>
        <v>5.9640219057551069E-2</v>
      </c>
      <c r="H98" s="729">
        <f>'Recycling - Case 3'!BH108</f>
        <v>0</v>
      </c>
      <c r="I98" s="729">
        <f>'Recycling - Case 3'!BI108</f>
        <v>0</v>
      </c>
      <c r="J98" s="729">
        <f>'Recycling - Case 3'!BJ108</f>
        <v>0</v>
      </c>
      <c r="K98" s="729">
        <f>'Recycling - Case 3'!BK108</f>
        <v>0.4775699347081197</v>
      </c>
      <c r="L98" s="730">
        <f t="shared" si="89"/>
        <v>0.99999999999999989</v>
      </c>
      <c r="N98" s="740">
        <f t="shared" si="56"/>
        <v>3566.0900742274539</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0.10621267571265587</v>
      </c>
      <c r="Q98" s="734">
        <f t="shared" si="57"/>
        <v>181.51534803676438</v>
      </c>
      <c r="R98" s="734">
        <f t="shared" si="58"/>
        <v>181.51534803676438</v>
      </c>
      <c r="S98" s="737">
        <f t="shared" si="59"/>
        <v>0</v>
      </c>
      <c r="T98" s="734">
        <f t="shared" si="60"/>
        <v>10491.528967847622</v>
      </c>
      <c r="U98" s="734">
        <f t="shared" si="61"/>
        <v>528.60570193944284</v>
      </c>
      <c r="V98" s="741">
        <f t="shared" si="62"/>
        <v>352.40380129296187</v>
      </c>
      <c r="X98" s="750">
        <f>'Recycling - Case 3'!AM148</f>
        <v>0</v>
      </c>
      <c r="Y98" s="751">
        <f>Parameters!S268</f>
        <v>0.71500000000000008</v>
      </c>
      <c r="Z98" s="751">
        <f t="shared" si="63"/>
        <v>0.4</v>
      </c>
      <c r="AA98" s="752">
        <f t="shared" si="64"/>
        <v>0</v>
      </c>
      <c r="AB98" s="752">
        <f t="shared" si="65"/>
        <v>0</v>
      </c>
      <c r="AC98" s="753">
        <f t="shared" si="66"/>
        <v>0</v>
      </c>
      <c r="AD98" s="752">
        <f t="shared" si="67"/>
        <v>6579.0465596699687</v>
      </c>
      <c r="AE98" s="752">
        <f t="shared" si="68"/>
        <v>337.3149302231883</v>
      </c>
      <c r="AF98" s="754">
        <f t="shared" si="69"/>
        <v>224.8766201487922</v>
      </c>
      <c r="AH98" s="750">
        <f>'Recycling - Case 3'!AM188</f>
        <v>0</v>
      </c>
      <c r="AI98" s="751">
        <f>Parameters!S268</f>
        <v>0.71500000000000008</v>
      </c>
      <c r="AJ98" s="751">
        <f t="shared" si="70"/>
        <v>0.4</v>
      </c>
      <c r="AK98" s="752">
        <f t="shared" si="71"/>
        <v>0</v>
      </c>
      <c r="AL98" s="752">
        <f t="shared" si="72"/>
        <v>0</v>
      </c>
      <c r="AM98" s="753">
        <f t="shared" si="73"/>
        <v>0</v>
      </c>
      <c r="AN98" s="752">
        <f t="shared" si="74"/>
        <v>6579.0465596699687</v>
      </c>
      <c r="AO98" s="752">
        <f t="shared" si="75"/>
        <v>337.3149302231883</v>
      </c>
      <c r="AP98" s="754">
        <f t="shared" si="76"/>
        <v>224.8766201487922</v>
      </c>
      <c r="AR98" s="740">
        <f>'Recycling - Case 3'!G108</f>
        <v>707.94764457850295</v>
      </c>
      <c r="AS98" s="736">
        <v>1</v>
      </c>
      <c r="AT98" s="736">
        <f t="shared" si="77"/>
        <v>0.05</v>
      </c>
      <c r="AU98" s="734">
        <f t="shared" si="78"/>
        <v>17.698691114462573</v>
      </c>
      <c r="AV98" s="734">
        <f t="shared" si="79"/>
        <v>17.698691114462573</v>
      </c>
      <c r="AW98" s="737">
        <f t="shared" si="80"/>
        <v>0</v>
      </c>
      <c r="AX98" s="734">
        <f t="shared" si="44"/>
        <v>203.11983880733533</v>
      </c>
      <c r="AY98" s="734">
        <f t="shared" si="49"/>
        <v>11.465803429804323</v>
      </c>
      <c r="AZ98" s="808">
        <f t="shared" si="47"/>
        <v>7.6438689532028823</v>
      </c>
      <c r="BB98" s="913">
        <f t="shared" si="81"/>
        <v>352.40380129296187</v>
      </c>
      <c r="BC98" s="914">
        <f t="shared" si="82"/>
        <v>224.8766201487922</v>
      </c>
      <c r="BD98" s="933">
        <f t="shared" si="90"/>
        <v>7.6438689532028823</v>
      </c>
      <c r="BE98" s="914">
        <f t="shared" si="54"/>
        <v>584.92429039495687</v>
      </c>
      <c r="BF98" s="145">
        <v>0</v>
      </c>
      <c r="BG98" s="927">
        <f t="shared" si="83"/>
        <v>584.92429039495687</v>
      </c>
      <c r="BI98" s="913">
        <f t="shared" si="84"/>
        <v>352.40380129296187</v>
      </c>
      <c r="BJ98" s="914">
        <f t="shared" si="85"/>
        <v>224.8766201487922</v>
      </c>
      <c r="BK98" s="933">
        <f t="shared" si="86"/>
        <v>7.6438689532028823</v>
      </c>
      <c r="BL98" s="914">
        <f t="shared" si="55"/>
        <v>584.92429039495687</v>
      </c>
      <c r="BM98" s="145">
        <v>0</v>
      </c>
      <c r="BN98" s="927">
        <f t="shared" si="87"/>
        <v>584.92429039495687</v>
      </c>
    </row>
    <row r="99" spans="1:66">
      <c r="A99" s="805">
        <f>'Input data'!A129</f>
        <v>2029</v>
      </c>
      <c r="B99" s="728">
        <f>'Input data'!B129</f>
        <v>65.31298905018393</v>
      </c>
      <c r="C99" s="728">
        <f>'Recycling - Case 3'!AK109/B99</f>
        <v>305.53070568103118</v>
      </c>
      <c r="D99" s="729">
        <f>'Recycling - Case 3'!AM109</f>
        <v>0.161951847001268</v>
      </c>
      <c r="E99" s="729">
        <f>'Recycling - Case 3'!BE109</f>
        <v>0.20768815931261841</v>
      </c>
      <c r="F99" s="729">
        <f>'Recycling - Case 3'!BF109</f>
        <v>0.26340477325982065</v>
      </c>
      <c r="G99" s="729">
        <f>'Recycling - Case 3'!BG109</f>
        <v>5.7550871499356622E-2</v>
      </c>
      <c r="H99" s="729">
        <f>'Recycling - Case 3'!BH109</f>
        <v>0</v>
      </c>
      <c r="I99" s="729">
        <f>'Recycling - Case 3'!BI109</f>
        <v>0</v>
      </c>
      <c r="J99" s="729">
        <f>'Recycling - Case 3'!BJ109</f>
        <v>0</v>
      </c>
      <c r="K99" s="729">
        <f>'Recycling - Case 3'!BK109</f>
        <v>0.47135619592820438</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0.10685452714859954</v>
      </c>
      <c r="Q99" s="734">
        <f t="shared" si="57"/>
        <v>169.07847057674107</v>
      </c>
      <c r="R99" s="734">
        <f t="shared" si="58"/>
        <v>169.07847057674107</v>
      </c>
      <c r="S99" s="737">
        <f t="shared" si="59"/>
        <v>0</v>
      </c>
      <c r="T99" s="734">
        <f t="shared" si="60"/>
        <v>10148.929532795006</v>
      </c>
      <c r="U99" s="734">
        <f t="shared" si="61"/>
        <v>511.67790562935841</v>
      </c>
      <c r="V99" s="741">
        <f t="shared" si="62"/>
        <v>341.11860375290559</v>
      </c>
      <c r="X99" s="750">
        <f>'Recycling - Case 3'!AM149</f>
        <v>0</v>
      </c>
      <c r="Y99" s="751">
        <f>Parameters!S269</f>
        <v>0.71500000000000008</v>
      </c>
      <c r="Z99" s="751">
        <f t="shared" si="63"/>
        <v>0.4</v>
      </c>
      <c r="AA99" s="752">
        <f t="shared" si="64"/>
        <v>0</v>
      </c>
      <c r="AB99" s="752">
        <f t="shared" si="65"/>
        <v>0</v>
      </c>
      <c r="AC99" s="753">
        <f t="shared" si="66"/>
        <v>0</v>
      </c>
      <c r="AD99" s="752">
        <f t="shared" si="67"/>
        <v>6258.182672718267</v>
      </c>
      <c r="AE99" s="752">
        <f t="shared" si="68"/>
        <v>320.86388695170194</v>
      </c>
      <c r="AF99" s="754">
        <f t="shared" si="69"/>
        <v>213.9092579678013</v>
      </c>
      <c r="AH99" s="750">
        <f>'Recycling - Case 3'!AM189</f>
        <v>0</v>
      </c>
      <c r="AI99" s="751">
        <f>Parameters!S269</f>
        <v>0.71500000000000008</v>
      </c>
      <c r="AJ99" s="751">
        <f t="shared" si="70"/>
        <v>0.4</v>
      </c>
      <c r="AK99" s="752">
        <f t="shared" si="71"/>
        <v>0</v>
      </c>
      <c r="AL99" s="752">
        <f t="shared" si="72"/>
        <v>0</v>
      </c>
      <c r="AM99" s="753">
        <f t="shared" si="73"/>
        <v>0</v>
      </c>
      <c r="AN99" s="752">
        <f t="shared" si="74"/>
        <v>6258.182672718267</v>
      </c>
      <c r="AO99" s="752">
        <f t="shared" si="75"/>
        <v>320.86388695170194</v>
      </c>
      <c r="AP99" s="754">
        <f t="shared" si="76"/>
        <v>213.9092579678013</v>
      </c>
      <c r="AR99" s="740">
        <f>'Recycling - Case 3'!G109</f>
        <v>727.28171126107532</v>
      </c>
      <c r="AS99" s="736">
        <v>1</v>
      </c>
      <c r="AT99" s="736">
        <f t="shared" si="77"/>
        <v>0.05</v>
      </c>
      <c r="AU99" s="734">
        <f t="shared" si="78"/>
        <v>18.182042781526885</v>
      </c>
      <c r="AV99" s="734">
        <f t="shared" si="79"/>
        <v>18.182042781526885</v>
      </c>
      <c r="AW99" s="737">
        <f t="shared" si="80"/>
        <v>0</v>
      </c>
      <c r="AX99" s="734">
        <f t="shared" si="44"/>
        <v>209.47310303762484</v>
      </c>
      <c r="AY99" s="734">
        <f t="shared" si="49"/>
        <v>11.82877855123739</v>
      </c>
      <c r="AZ99" s="808">
        <f t="shared" si="47"/>
        <v>7.8858523674915935</v>
      </c>
      <c r="BB99" s="913">
        <f t="shared" si="81"/>
        <v>341.11860375290559</v>
      </c>
      <c r="BC99" s="914">
        <f t="shared" si="82"/>
        <v>213.9092579678013</v>
      </c>
      <c r="BD99" s="933">
        <f t="shared" si="90"/>
        <v>7.8858523674915935</v>
      </c>
      <c r="BE99" s="914">
        <f t="shared" si="54"/>
        <v>562.91371408819839</v>
      </c>
      <c r="BF99" s="145">
        <v>0</v>
      </c>
      <c r="BG99" s="927">
        <f t="shared" si="83"/>
        <v>562.91371408819839</v>
      </c>
      <c r="BI99" s="913">
        <f t="shared" si="84"/>
        <v>341.11860375290559</v>
      </c>
      <c r="BJ99" s="914">
        <f t="shared" si="85"/>
        <v>213.9092579678013</v>
      </c>
      <c r="BK99" s="933">
        <f t="shared" si="86"/>
        <v>7.8858523674915935</v>
      </c>
      <c r="BL99" s="914">
        <f t="shared" si="55"/>
        <v>562.91371408819839</v>
      </c>
      <c r="BM99" s="145">
        <v>0</v>
      </c>
      <c r="BN99" s="927">
        <f t="shared" si="87"/>
        <v>562.91371408819839</v>
      </c>
    </row>
    <row r="100" spans="1:66">
      <c r="A100" s="805">
        <f>'Input data'!A130</f>
        <v>2030</v>
      </c>
      <c r="B100" s="728">
        <f>'Input data'!B130</f>
        <v>65.956090000000003</v>
      </c>
      <c r="C100" s="728">
        <f>'Recycling - Case 3'!AK110/B100</f>
        <v>298.77612226712506</v>
      </c>
      <c r="D100" s="729">
        <f>'Recycling - Case 3'!AM110</f>
        <v>0.1470330241938301</v>
      </c>
      <c r="E100" s="729">
        <f>'Recycling - Case 3'!BE110</f>
        <v>0.21141686250550593</v>
      </c>
      <c r="F100" s="729">
        <f>'Recycling - Case 3'!BF110</f>
        <v>0.26813377765913904</v>
      </c>
      <c r="G100" s="729">
        <f>'Recycling - Case 3'!BG110</f>
        <v>5.541998265772928E-2</v>
      </c>
      <c r="H100" s="729">
        <f>'Recycling - Case 3'!BH110</f>
        <v>0</v>
      </c>
      <c r="I100" s="729">
        <f>'Recycling - Case 3'!BI110</f>
        <v>0</v>
      </c>
      <c r="J100" s="729">
        <f>'Recycling - Case 3'!BJ110</f>
        <v>0</v>
      </c>
      <c r="K100" s="729">
        <f>'Recycling - Case 3'!BK110</f>
        <v>0.46502937717762582</v>
      </c>
      <c r="L100" s="730">
        <f t="shared" si="89"/>
        <v>1</v>
      </c>
      <c r="N100" s="740">
        <f t="shared" si="56"/>
        <v>2897.4481853098064</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0.1075072779707454</v>
      </c>
      <c r="Q100" s="734">
        <f t="shared" si="57"/>
        <v>155.74838373196658</v>
      </c>
      <c r="R100" s="734">
        <f t="shared" si="58"/>
        <v>155.74838373196658</v>
      </c>
      <c r="S100" s="737">
        <f t="shared" si="59"/>
        <v>0</v>
      </c>
      <c r="T100" s="734">
        <f t="shared" si="60"/>
        <v>9809.7087825108611</v>
      </c>
      <c r="U100" s="734">
        <f t="shared" si="61"/>
        <v>494.96913401611204</v>
      </c>
      <c r="V100" s="741">
        <f t="shared" si="62"/>
        <v>329.97942267740802</v>
      </c>
      <c r="X100" s="750">
        <f>'Recycling - Case 3'!AM150</f>
        <v>0</v>
      </c>
      <c r="Y100" s="751">
        <f>Parameters!S270</f>
        <v>0.71500000000000008</v>
      </c>
      <c r="Z100" s="751">
        <f t="shared" si="63"/>
        <v>0.4</v>
      </c>
      <c r="AA100" s="752">
        <f t="shared" si="64"/>
        <v>0</v>
      </c>
      <c r="AB100" s="752">
        <f t="shared" si="65"/>
        <v>0</v>
      </c>
      <c r="AC100" s="753">
        <f t="shared" si="66"/>
        <v>0</v>
      </c>
      <c r="AD100" s="752">
        <f t="shared" si="67"/>
        <v>5952.9675021901376</v>
      </c>
      <c r="AE100" s="752">
        <f t="shared" si="68"/>
        <v>305.21517052812959</v>
      </c>
      <c r="AF100" s="754">
        <f t="shared" si="69"/>
        <v>203.47678035208639</v>
      </c>
      <c r="AH100" s="750">
        <f>'Recycling - Case 3'!AM190</f>
        <v>0</v>
      </c>
      <c r="AI100" s="751">
        <f>Parameters!S270</f>
        <v>0.71500000000000008</v>
      </c>
      <c r="AJ100" s="751">
        <f t="shared" si="70"/>
        <v>0.4</v>
      </c>
      <c r="AK100" s="752">
        <f t="shared" si="71"/>
        <v>0</v>
      </c>
      <c r="AL100" s="752">
        <f t="shared" si="72"/>
        <v>0</v>
      </c>
      <c r="AM100" s="753">
        <f t="shared" si="73"/>
        <v>0</v>
      </c>
      <c r="AN100" s="752">
        <f t="shared" si="74"/>
        <v>5952.9675021901376</v>
      </c>
      <c r="AO100" s="752">
        <f t="shared" si="75"/>
        <v>305.21517052812959</v>
      </c>
      <c r="AP100" s="754">
        <f t="shared" si="76"/>
        <v>203.47678035208639</v>
      </c>
      <c r="AR100" s="740">
        <f>'Recycling - Case 3'!G110</f>
        <v>746.92788438679418</v>
      </c>
      <c r="AS100" s="736">
        <v>1</v>
      </c>
      <c r="AT100" s="736">
        <f t="shared" si="77"/>
        <v>0.05</v>
      </c>
      <c r="AU100" s="734">
        <f t="shared" si="78"/>
        <v>18.673197109669854</v>
      </c>
      <c r="AV100" s="734">
        <f t="shared" si="79"/>
        <v>18.673197109669854</v>
      </c>
      <c r="AW100" s="737">
        <f t="shared" si="80"/>
        <v>0</v>
      </c>
      <c r="AX100" s="734">
        <f t="shared" si="44"/>
        <v>215.94753629034386</v>
      </c>
      <c r="AY100" s="734">
        <f t="shared" si="49"/>
        <v>12.198763856950809</v>
      </c>
      <c r="AZ100" s="808">
        <f t="shared" si="47"/>
        <v>8.1325092379672057</v>
      </c>
      <c r="BB100" s="913">
        <f t="shared" si="81"/>
        <v>329.97942267740802</v>
      </c>
      <c r="BC100" s="914">
        <f t="shared" si="82"/>
        <v>203.47678035208639</v>
      </c>
      <c r="BD100" s="933">
        <f t="shared" si="90"/>
        <v>8.1325092379672057</v>
      </c>
      <c r="BE100" s="914">
        <f t="shared" si="54"/>
        <v>541.58871226746157</v>
      </c>
      <c r="BF100" s="145">
        <v>0</v>
      </c>
      <c r="BG100" s="927">
        <f t="shared" si="83"/>
        <v>541.58871226746157</v>
      </c>
      <c r="BI100" s="913">
        <f t="shared" si="84"/>
        <v>329.97942267740802</v>
      </c>
      <c r="BJ100" s="914">
        <f t="shared" si="85"/>
        <v>203.47678035208639</v>
      </c>
      <c r="BK100" s="933">
        <f t="shared" si="86"/>
        <v>8.1325092379672057</v>
      </c>
      <c r="BL100" s="914">
        <f t="shared" si="55"/>
        <v>541.58871226746157</v>
      </c>
      <c r="BM100" s="145">
        <v>0</v>
      </c>
      <c r="BN100" s="927">
        <f t="shared" si="87"/>
        <v>541.58871226746157</v>
      </c>
    </row>
    <row r="101" spans="1:66">
      <c r="A101" s="805">
        <f>'Input data'!A131</f>
        <v>2031</v>
      </c>
      <c r="B101" s="728">
        <f>'Input data'!B131</f>
        <v>66.518977190687664</v>
      </c>
      <c r="C101" s="728">
        <f>'Recycling - Case 3'!AK111/B101</f>
        <v>290.33093279482745</v>
      </c>
      <c r="D101" s="729">
        <f>'Recycling - Case 3'!AM111</f>
        <v>0.1327184478933309</v>
      </c>
      <c r="E101" s="729">
        <f>'Recycling - Case 3'!BE111</f>
        <v>0.21211281030749607</v>
      </c>
      <c r="F101" s="729">
        <f>'Recycling - Case 3'!BF111</f>
        <v>0.26901642775142459</v>
      </c>
      <c r="G101" s="729">
        <f>'Recycling - Case 3'!BG111</f>
        <v>5.525188586546504E-2</v>
      </c>
      <c r="H101" s="729">
        <f>'Recycling - Case 3'!BH111</f>
        <v>0</v>
      </c>
      <c r="I101" s="729">
        <f>'Recycling - Case 3'!BI111</f>
        <v>0</v>
      </c>
      <c r="J101" s="729">
        <f>'Recycling - Case 3'!BJ111</f>
        <v>0</v>
      </c>
      <c r="K101" s="729">
        <f>'Recycling - Case 3'!BK111</f>
        <v>0.46361887607561419</v>
      </c>
      <c r="L101" s="730">
        <f t="shared" si="89"/>
        <v>1</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0.10772096144259535</v>
      </c>
      <c r="Q101" s="734">
        <f t="shared" si="57"/>
        <v>138.05126534208725</v>
      </c>
      <c r="R101" s="734">
        <f t="shared" si="58"/>
        <v>138.05126534208725</v>
      </c>
      <c r="S101" s="737">
        <f t="shared" si="59"/>
        <v>0</v>
      </c>
      <c r="T101" s="734">
        <f t="shared" si="60"/>
        <v>9469.3349050494926</v>
      </c>
      <c r="U101" s="734">
        <f t="shared" si="61"/>
        <v>478.42514280345472</v>
      </c>
      <c r="V101" s="741">
        <f t="shared" si="62"/>
        <v>318.95009520230315</v>
      </c>
      <c r="X101" s="750">
        <f>'Recycling - Case 3'!AM151</f>
        <v>0</v>
      </c>
      <c r="Y101" s="751">
        <f>Parameters!S271</f>
        <v>0.71500000000000008</v>
      </c>
      <c r="Z101" s="751">
        <f t="shared" si="63"/>
        <v>0.4</v>
      </c>
      <c r="AA101" s="752">
        <f t="shared" si="64"/>
        <v>0</v>
      </c>
      <c r="AB101" s="752">
        <f t="shared" si="65"/>
        <v>0</v>
      </c>
      <c r="AC101" s="753">
        <f t="shared" si="66"/>
        <v>0</v>
      </c>
      <c r="AD101" s="752">
        <f t="shared" si="67"/>
        <v>5662.6378511797775</v>
      </c>
      <c r="AE101" s="752">
        <f t="shared" si="68"/>
        <v>290.32965101036001</v>
      </c>
      <c r="AF101" s="754">
        <f t="shared" si="69"/>
        <v>193.55310067357334</v>
      </c>
      <c r="AH101" s="750">
        <f>'Recycling - Case 3'!AM191</f>
        <v>0</v>
      </c>
      <c r="AI101" s="751">
        <f>Parameters!S271</f>
        <v>0.71500000000000008</v>
      </c>
      <c r="AJ101" s="751">
        <f t="shared" si="70"/>
        <v>0.4</v>
      </c>
      <c r="AK101" s="752">
        <f t="shared" si="71"/>
        <v>0</v>
      </c>
      <c r="AL101" s="752">
        <f t="shared" si="72"/>
        <v>0</v>
      </c>
      <c r="AM101" s="753">
        <f t="shared" si="73"/>
        <v>0</v>
      </c>
      <c r="AN101" s="752">
        <f t="shared" si="74"/>
        <v>5662.6378511797775</v>
      </c>
      <c r="AO101" s="752">
        <f t="shared" si="75"/>
        <v>290.32965101036001</v>
      </c>
      <c r="AP101" s="754">
        <f t="shared" si="76"/>
        <v>193.55310067357334</v>
      </c>
      <c r="AR101" s="740">
        <f>'Recycling - Case 3'!G111</f>
        <v>753.30236987386229</v>
      </c>
      <c r="AS101" s="736">
        <v>1</v>
      </c>
      <c r="AT101" s="736">
        <f t="shared" si="77"/>
        <v>0.05</v>
      </c>
      <c r="AU101" s="734">
        <f t="shared" si="78"/>
        <v>18.832559246846557</v>
      </c>
      <c r="AV101" s="734">
        <f t="shared" si="79"/>
        <v>18.832559246846557</v>
      </c>
      <c r="AW101" s="737">
        <f t="shared" si="80"/>
        <v>0</v>
      </c>
      <c r="AX101" s="734">
        <f t="shared" si="44"/>
        <v>222.20429003998987</v>
      </c>
      <c r="AY101" s="734">
        <f t="shared" si="49"/>
        <v>12.57580549720055</v>
      </c>
      <c r="AZ101" s="808">
        <f t="shared" si="47"/>
        <v>8.3838703314670333</v>
      </c>
      <c r="BB101" s="913">
        <f t="shared" si="81"/>
        <v>318.95009520230315</v>
      </c>
      <c r="BC101" s="914">
        <f t="shared" si="82"/>
        <v>193.55310067357334</v>
      </c>
      <c r="BD101" s="933">
        <f t="shared" si="90"/>
        <v>8.3838703314670333</v>
      </c>
      <c r="BE101" s="914">
        <f t="shared" si="54"/>
        <v>520.88706620734354</v>
      </c>
      <c r="BF101" s="145">
        <v>0</v>
      </c>
      <c r="BG101" s="927">
        <f t="shared" si="83"/>
        <v>520.88706620734354</v>
      </c>
      <c r="BI101" s="913">
        <f t="shared" si="84"/>
        <v>318.95009520230315</v>
      </c>
      <c r="BJ101" s="914">
        <f t="shared" si="85"/>
        <v>193.55310067357334</v>
      </c>
      <c r="BK101" s="933">
        <f t="shared" si="86"/>
        <v>8.3838703314670333</v>
      </c>
      <c r="BL101" s="914">
        <f t="shared" si="55"/>
        <v>520.88706620734354</v>
      </c>
      <c r="BM101" s="145">
        <v>0</v>
      </c>
      <c r="BN101" s="927">
        <f t="shared" si="87"/>
        <v>520.88706620734354</v>
      </c>
    </row>
    <row r="102" spans="1:66">
      <c r="A102" s="805">
        <f>'Input data'!A132</f>
        <v>2032</v>
      </c>
      <c r="B102" s="728">
        <f>'Input data'!B132</f>
        <v>67.08666821358311</v>
      </c>
      <c r="C102" s="728">
        <f>'Recycling - Case 3'!AK112/B102</f>
        <v>282.03003311800558</v>
      </c>
      <c r="D102" s="729">
        <f>'Recycling - Case 3'!AM112</f>
        <v>0.117798766784085</v>
      </c>
      <c r="E102" s="729">
        <f>'Recycling - Case 3'!BE112</f>
        <v>0.21279871307702919</v>
      </c>
      <c r="F102" s="729">
        <f>'Recycling - Case 3'!BF112</f>
        <v>0.26988633802500545</v>
      </c>
      <c r="G102" s="729">
        <f>'Recycling - Case 3'!BG112</f>
        <v>5.5086215315124989E-2</v>
      </c>
      <c r="H102" s="729">
        <f>'Recycling - Case 3'!BH112</f>
        <v>0</v>
      </c>
      <c r="I102" s="729">
        <f>'Recycling - Case 3'!BI112</f>
        <v>0</v>
      </c>
      <c r="J102" s="729">
        <f>'Recycling - Case 3'!BJ112</f>
        <v>0</v>
      </c>
      <c r="K102" s="729">
        <f>'Recycling - Case 3'!BK112</f>
        <v>0.46222873358284033</v>
      </c>
      <c r="L102" s="730">
        <f t="shared" si="89"/>
        <v>1</v>
      </c>
      <c r="N102" s="740">
        <f t="shared" si="56"/>
        <v>2228.8062963921589</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0.10793156069260547</v>
      </c>
      <c r="Q102" s="734">
        <f t="shared" si="57"/>
        <v>120.27927102555576</v>
      </c>
      <c r="R102" s="734">
        <f t="shared" si="58"/>
        <v>120.27927102555576</v>
      </c>
      <c r="S102" s="737">
        <f t="shared" si="59"/>
        <v>0</v>
      </c>
      <c r="T102" s="734">
        <f t="shared" si="60"/>
        <v>9127.7892631603081</v>
      </c>
      <c r="U102" s="734">
        <f t="shared" si="61"/>
        <v>461.82491291474037</v>
      </c>
      <c r="V102" s="741">
        <f t="shared" si="62"/>
        <v>307.88327527649358</v>
      </c>
      <c r="X102" s="750">
        <f>'Recycling - Case 3'!AM152</f>
        <v>0</v>
      </c>
      <c r="Y102" s="751">
        <f>Parameters!S272</f>
        <v>0.71500000000000008</v>
      </c>
      <c r="Z102" s="751">
        <f t="shared" si="63"/>
        <v>0.4</v>
      </c>
      <c r="AA102" s="752">
        <f t="shared" si="64"/>
        <v>0</v>
      </c>
      <c r="AB102" s="752">
        <f t="shared" si="65"/>
        <v>0</v>
      </c>
      <c r="AC102" s="753">
        <f t="shared" si="66"/>
        <v>0</v>
      </c>
      <c r="AD102" s="752">
        <f t="shared" si="67"/>
        <v>5386.4677443336996</v>
      </c>
      <c r="AE102" s="752">
        <f t="shared" si="68"/>
        <v>276.17010684607789</v>
      </c>
      <c r="AF102" s="754">
        <f t="shared" si="69"/>
        <v>184.11340456405193</v>
      </c>
      <c r="AH102" s="750">
        <f>'Recycling - Case 3'!AM192</f>
        <v>0</v>
      </c>
      <c r="AI102" s="751">
        <f>Parameters!S272</f>
        <v>0.71500000000000008</v>
      </c>
      <c r="AJ102" s="751">
        <f t="shared" si="70"/>
        <v>0.4</v>
      </c>
      <c r="AK102" s="752">
        <f t="shared" si="71"/>
        <v>0</v>
      </c>
      <c r="AL102" s="752">
        <f t="shared" si="72"/>
        <v>0</v>
      </c>
      <c r="AM102" s="753">
        <f t="shared" si="73"/>
        <v>0</v>
      </c>
      <c r="AN102" s="752">
        <f t="shared" si="74"/>
        <v>5386.4677443336996</v>
      </c>
      <c r="AO102" s="752">
        <f t="shared" si="75"/>
        <v>276.17010684607789</v>
      </c>
      <c r="AP102" s="754">
        <f t="shared" si="76"/>
        <v>184.11340456405193</v>
      </c>
      <c r="AR102" s="740">
        <f>'Recycling - Case 3'!G112</f>
        <v>759.73125695186627</v>
      </c>
      <c r="AS102" s="736">
        <v>1</v>
      </c>
      <c r="AT102" s="736">
        <f t="shared" si="77"/>
        <v>0.05</v>
      </c>
      <c r="AU102" s="734">
        <f t="shared" si="78"/>
        <v>18.993281423796656</v>
      </c>
      <c r="AV102" s="734">
        <f t="shared" si="79"/>
        <v>18.993281423796656</v>
      </c>
      <c r="AW102" s="737">
        <f t="shared" si="80"/>
        <v>0</v>
      </c>
      <c r="AX102" s="734">
        <f t="shared" si="44"/>
        <v>228.25740099372683</v>
      </c>
      <c r="AY102" s="734">
        <f t="shared" si="49"/>
        <v>12.940170470059687</v>
      </c>
      <c r="AZ102" s="808">
        <f t="shared" si="47"/>
        <v>8.6267803133731249</v>
      </c>
      <c r="BB102" s="913">
        <f t="shared" si="81"/>
        <v>307.88327527649358</v>
      </c>
      <c r="BC102" s="914">
        <f t="shared" si="82"/>
        <v>184.11340456405193</v>
      </c>
      <c r="BD102" s="933">
        <f t="shared" si="90"/>
        <v>8.6267803133731249</v>
      </c>
      <c r="BE102" s="914">
        <f t="shared" si="54"/>
        <v>500.62346015391864</v>
      </c>
      <c r="BF102" s="145">
        <v>0</v>
      </c>
      <c r="BG102" s="927">
        <f t="shared" si="83"/>
        <v>500.62346015391864</v>
      </c>
      <c r="BI102" s="913">
        <f t="shared" si="84"/>
        <v>307.88327527649358</v>
      </c>
      <c r="BJ102" s="914">
        <f t="shared" si="85"/>
        <v>184.11340456405193</v>
      </c>
      <c r="BK102" s="933">
        <f t="shared" si="86"/>
        <v>8.6267803133731249</v>
      </c>
      <c r="BL102" s="914">
        <f t="shared" si="55"/>
        <v>500.62346015391864</v>
      </c>
      <c r="BM102" s="145">
        <v>0</v>
      </c>
      <c r="BN102" s="927">
        <f t="shared" si="87"/>
        <v>500.62346015391864</v>
      </c>
    </row>
    <row r="103" spans="1:66">
      <c r="A103" s="805">
        <f>'Input data'!A133</f>
        <v>2033</v>
      </c>
      <c r="B103" s="728">
        <f>'Input data'!B133</f>
        <v>67.659204065895452</v>
      </c>
      <c r="C103" s="728">
        <f>'Recycling - Case 3'!AK113/B103</f>
        <v>280.78520384759781</v>
      </c>
      <c r="D103" s="729">
        <f>'Recycling - Case 3'!AM113</f>
        <v>0.11731977538457024</v>
      </c>
      <c r="E103" s="729">
        <f>'Recycling - Case 3'!BE113</f>
        <v>0.21347476249844466</v>
      </c>
      <c r="F103" s="729">
        <f>'Recycling - Case 3'!BF113</f>
        <v>0.27074375158748171</v>
      </c>
      <c r="G103" s="729">
        <f>'Recycling - Case 3'!BG113</f>
        <v>5.492292470794579E-2</v>
      </c>
      <c r="H103" s="729">
        <f>'Recycling - Case 3'!BH113</f>
        <v>0</v>
      </c>
      <c r="I103" s="729">
        <f>'Recycling - Case 3'!BI113</f>
        <v>0</v>
      </c>
      <c r="J103" s="729">
        <f>'Recycling - Case 3'!BJ113</f>
        <v>0</v>
      </c>
      <c r="K103" s="729">
        <f>'Recycling - Case 3'!BK113</f>
        <v>0.46085856120612789</v>
      </c>
      <c r="L103" s="730">
        <f t="shared" si="89"/>
        <v>1</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0.10813913457544136</v>
      </c>
      <c r="Q103" s="734">
        <f t="shared" si="57"/>
        <v>120.51059201407134</v>
      </c>
      <c r="R103" s="734">
        <f t="shared" si="58"/>
        <v>120.51059201407134</v>
      </c>
      <c r="S103" s="737">
        <f t="shared" si="59"/>
        <v>0</v>
      </c>
      <c r="T103" s="734">
        <f t="shared" si="60"/>
        <v>8803.1323197738493</v>
      </c>
      <c r="U103" s="734">
        <f t="shared" si="61"/>
        <v>445.16753540053179</v>
      </c>
      <c r="V103" s="741">
        <f t="shared" si="62"/>
        <v>296.77835693368786</v>
      </c>
      <c r="X103" s="750">
        <f>'Recycling - Case 3'!AM153</f>
        <v>0</v>
      </c>
      <c r="Y103" s="751">
        <f>Parameters!S273</f>
        <v>0.71500000000000008</v>
      </c>
      <c r="Z103" s="751">
        <f t="shared" si="63"/>
        <v>0.4</v>
      </c>
      <c r="AA103" s="752">
        <f t="shared" si="64"/>
        <v>0</v>
      </c>
      <c r="AB103" s="752">
        <f t="shared" si="65"/>
        <v>0</v>
      </c>
      <c r="AC103" s="753">
        <f t="shared" si="66"/>
        <v>0</v>
      </c>
      <c r="AD103" s="752">
        <f t="shared" si="67"/>
        <v>5123.7666125342039</v>
      </c>
      <c r="AE103" s="752">
        <f t="shared" si="68"/>
        <v>262.70113179949539</v>
      </c>
      <c r="AF103" s="754">
        <f t="shared" si="69"/>
        <v>175.13408786633025</v>
      </c>
      <c r="AH103" s="750">
        <f>'Recycling - Case 3'!AM193</f>
        <v>0</v>
      </c>
      <c r="AI103" s="751">
        <f>Parameters!S273</f>
        <v>0.71500000000000008</v>
      </c>
      <c r="AJ103" s="751">
        <f t="shared" si="70"/>
        <v>0.4</v>
      </c>
      <c r="AK103" s="752">
        <f t="shared" si="71"/>
        <v>0</v>
      </c>
      <c r="AL103" s="752">
        <f t="shared" si="72"/>
        <v>0</v>
      </c>
      <c r="AM103" s="753">
        <f t="shared" si="73"/>
        <v>0</v>
      </c>
      <c r="AN103" s="752">
        <f t="shared" si="74"/>
        <v>5123.7666125342039</v>
      </c>
      <c r="AO103" s="752">
        <f t="shared" si="75"/>
        <v>262.70113179949539</v>
      </c>
      <c r="AP103" s="754">
        <f t="shared" si="76"/>
        <v>175.13408786633025</v>
      </c>
      <c r="AR103" s="740">
        <f>'Recycling - Case 3'!G113</f>
        <v>766.21500989876245</v>
      </c>
      <c r="AS103" s="736">
        <v>1</v>
      </c>
      <c r="AT103" s="736">
        <f t="shared" si="77"/>
        <v>0.05</v>
      </c>
      <c r="AU103" s="734">
        <f t="shared" si="78"/>
        <v>19.155375247469063</v>
      </c>
      <c r="AV103" s="734">
        <f t="shared" si="79"/>
        <v>19.155375247469063</v>
      </c>
      <c r="AW103" s="737">
        <f t="shared" si="80"/>
        <v>0</v>
      </c>
      <c r="AX103" s="734">
        <f t="shared" si="44"/>
        <v>234.12010003147904</v>
      </c>
      <c r="AY103" s="734">
        <f t="shared" si="49"/>
        <v>13.292676209716852</v>
      </c>
      <c r="AZ103" s="808">
        <f t="shared" si="47"/>
        <v>8.8617841398112347</v>
      </c>
      <c r="BB103" s="913">
        <f t="shared" si="81"/>
        <v>296.77835693368786</v>
      </c>
      <c r="BC103" s="914">
        <f t="shared" si="82"/>
        <v>175.13408786633025</v>
      </c>
      <c r="BD103" s="933">
        <f t="shared" si="90"/>
        <v>8.8617841398112347</v>
      </c>
      <c r="BE103" s="914">
        <f t="shared" si="54"/>
        <v>480.7742289398293</v>
      </c>
      <c r="BF103" s="145">
        <v>0</v>
      </c>
      <c r="BG103" s="927">
        <f t="shared" si="83"/>
        <v>480.7742289398293</v>
      </c>
      <c r="BI103" s="913">
        <f t="shared" si="84"/>
        <v>296.77835693368786</v>
      </c>
      <c r="BJ103" s="914">
        <f t="shared" si="85"/>
        <v>175.13408786633025</v>
      </c>
      <c r="BK103" s="933">
        <f t="shared" si="86"/>
        <v>8.8617841398112347</v>
      </c>
      <c r="BL103" s="914">
        <f t="shared" si="55"/>
        <v>480.7742289398293</v>
      </c>
      <c r="BM103" s="145">
        <v>0</v>
      </c>
      <c r="BN103" s="927">
        <f t="shared" si="87"/>
        <v>480.7742289398293</v>
      </c>
    </row>
    <row r="104" spans="1:66">
      <c r="A104" s="805">
        <f>'Input data'!A134</f>
        <v>2034</v>
      </c>
      <c r="B104" s="728">
        <f>'Input data'!B134</f>
        <v>68.236626094715163</v>
      </c>
      <c r="C104" s="728">
        <f>'Recycling - Case 3'!AK114/B104</f>
        <v>279.5517936159477</v>
      </c>
      <c r="D104" s="729">
        <f>'Recycling - Case 3'!AM114</f>
        <v>0.11684025538406186</v>
      </c>
      <c r="E104" s="729">
        <f>'Recycling - Case 3'!BE114</f>
        <v>0.21414114548957475</v>
      </c>
      <c r="F104" s="729">
        <f>'Recycling - Case 3'!BF114</f>
        <v>0.27158890550123271</v>
      </c>
      <c r="G104" s="729">
        <f>'Recycling - Case 3'!BG114</f>
        <v>5.4761968896449478E-2</v>
      </c>
      <c r="H104" s="729">
        <f>'Recycling - Case 3'!BH114</f>
        <v>0</v>
      </c>
      <c r="I104" s="729">
        <f>'Recycling - Case 3'!BI114</f>
        <v>0</v>
      </c>
      <c r="J104" s="729">
        <f>'Recycling - Case 3'!BJ114</f>
        <v>0</v>
      </c>
      <c r="K104" s="729">
        <f>'Recycling - Case 3'!BK114</f>
        <v>0.45950798011274291</v>
      </c>
      <c r="L104" s="730">
        <f t="shared" si="89"/>
        <v>0.99999999999999978</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3'!AM154</f>
        <v>0</v>
      </c>
      <c r="Y104" s="751">
        <f>Parameters!S274</f>
        <v>0.71500000000000008</v>
      </c>
      <c r="Z104" s="751">
        <f t="shared" si="63"/>
        <v>0.4</v>
      </c>
      <c r="AA104" s="752">
        <f t="shared" si="64"/>
        <v>0</v>
      </c>
      <c r="AB104" s="752">
        <f t="shared" si="65"/>
        <v>0</v>
      </c>
      <c r="AC104" s="753">
        <f t="shared" si="66"/>
        <v>0</v>
      </c>
      <c r="AD104" s="752">
        <f t="shared" si="67"/>
        <v>4873.8775661168838</v>
      </c>
      <c r="AE104" s="752">
        <f t="shared" si="68"/>
        <v>249.88904641732017</v>
      </c>
      <c r="AF104" s="754">
        <f t="shared" si="69"/>
        <v>166.59269761154678</v>
      </c>
      <c r="AH104" s="750">
        <f>'Recycling - Case 3'!AM194</f>
        <v>0</v>
      </c>
      <c r="AI104" s="751">
        <f>Parameters!S274</f>
        <v>0.71500000000000008</v>
      </c>
      <c r="AJ104" s="751">
        <f t="shared" si="70"/>
        <v>0.4</v>
      </c>
      <c r="AK104" s="752">
        <f t="shared" si="71"/>
        <v>0</v>
      </c>
      <c r="AL104" s="752">
        <f t="shared" si="72"/>
        <v>0</v>
      </c>
      <c r="AM104" s="753">
        <f t="shared" si="73"/>
        <v>0</v>
      </c>
      <c r="AN104" s="752">
        <f t="shared" si="74"/>
        <v>4873.8775661168838</v>
      </c>
      <c r="AO104" s="752">
        <f t="shared" si="75"/>
        <v>249.88904641732017</v>
      </c>
      <c r="AP104" s="754">
        <f t="shared" si="76"/>
        <v>166.59269761154678</v>
      </c>
      <c r="AR104" s="740">
        <f>'Recycling - Case 3'!G114</f>
        <v>772.75409695478163</v>
      </c>
      <c r="AS104" s="736">
        <v>1</v>
      </c>
      <c r="AT104" s="736">
        <f t="shared" si="77"/>
        <v>0.05</v>
      </c>
      <c r="AU104" s="734">
        <f t="shared" si="78"/>
        <v>19.318852423869544</v>
      </c>
      <c r="AV104" s="734">
        <f t="shared" si="79"/>
        <v>19.318852423869544</v>
      </c>
      <c r="AW104" s="737">
        <f t="shared" si="80"/>
        <v>0</v>
      </c>
      <c r="AX104" s="734">
        <f t="shared" si="44"/>
        <v>239.80485923271306</v>
      </c>
      <c r="AY104" s="734">
        <f t="shared" si="49"/>
        <v>13.634093222635528</v>
      </c>
      <c r="AZ104" s="808">
        <f t="shared" si="47"/>
        <v>9.0893954817570179</v>
      </c>
      <c r="BB104" s="913">
        <f t="shared" si="81"/>
        <v>286.22255295449003</v>
      </c>
      <c r="BC104" s="914">
        <f t="shared" si="82"/>
        <v>166.59269761154678</v>
      </c>
      <c r="BD104" s="933">
        <f t="shared" si="90"/>
        <v>9.0893954817570179</v>
      </c>
      <c r="BE104" s="914">
        <f t="shared" si="54"/>
        <v>461.90464604779385</v>
      </c>
      <c r="BF104" s="145">
        <v>0</v>
      </c>
      <c r="BG104" s="927">
        <f t="shared" si="83"/>
        <v>461.90464604779385</v>
      </c>
      <c r="BI104" s="913">
        <f t="shared" si="84"/>
        <v>286.22255295449003</v>
      </c>
      <c r="BJ104" s="914">
        <f t="shared" si="85"/>
        <v>166.59269761154678</v>
      </c>
      <c r="BK104" s="933">
        <f t="shared" si="86"/>
        <v>9.0893954817570179</v>
      </c>
      <c r="BL104" s="914">
        <f t="shared" si="55"/>
        <v>461.90464604779385</v>
      </c>
      <c r="BM104" s="145">
        <v>0</v>
      </c>
      <c r="BN104" s="927">
        <f t="shared" si="87"/>
        <v>461.90464604779385</v>
      </c>
    </row>
    <row r="105" spans="1:66">
      <c r="A105" s="805">
        <f>'Input data'!A135</f>
        <v>2035</v>
      </c>
      <c r="B105" s="728">
        <f>'Input data'!B135</f>
        <v>68.818976000000006</v>
      </c>
      <c r="C105" s="728">
        <f>'Recycling - Case 3'!AK115/B105</f>
        <v>278.32968324673374</v>
      </c>
      <c r="D105" s="729">
        <f>'Recycling - Case 3'!AM115</f>
        <v>0.11636023627094678</v>
      </c>
      <c r="E105" s="729">
        <f>'Recycling - Case 3'!BE115</f>
        <v>0.21479804434918434</v>
      </c>
      <c r="F105" s="729">
        <f>'Recycling - Case 3'!BF115</f>
        <v>0.27242203097041112</v>
      </c>
      <c r="G105" s="729">
        <f>'Recycling - Case 3'!BG115</f>
        <v>5.4603303848831559E-2</v>
      </c>
      <c r="H105" s="729">
        <f>'Recycling - Case 3'!BH115</f>
        <v>0</v>
      </c>
      <c r="I105" s="729">
        <f>'Recycling - Case 3'!BI115</f>
        <v>0</v>
      </c>
      <c r="J105" s="729">
        <f>'Recycling - Case 3'!BJ115</f>
        <v>0</v>
      </c>
      <c r="K105" s="729">
        <f>'Recycling - Case 3'!BK115</f>
        <v>0.45817662083157323</v>
      </c>
      <c r="L105" s="730">
        <f t="shared" si="89"/>
        <v>1.0000000000000002</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3'!AM155</f>
        <v>0</v>
      </c>
      <c r="Y105" s="751">
        <f>Parameters!S275</f>
        <v>0.71500000000000008</v>
      </c>
      <c r="Z105" s="751">
        <f t="shared" si="63"/>
        <v>0.4</v>
      </c>
      <c r="AA105" s="752">
        <f t="shared" si="64"/>
        <v>0</v>
      </c>
      <c r="AB105" s="752">
        <f t="shared" si="65"/>
        <v>0</v>
      </c>
      <c r="AC105" s="753">
        <f t="shared" si="66"/>
        <v>0</v>
      </c>
      <c r="AD105" s="752">
        <f t="shared" si="67"/>
        <v>4636.1757523043043</v>
      </c>
      <c r="AE105" s="752">
        <f t="shared" si="68"/>
        <v>237.7018138125797</v>
      </c>
      <c r="AF105" s="754">
        <f t="shared" si="69"/>
        <v>158.46787587505312</v>
      </c>
      <c r="AH105" s="750">
        <f>'Recycling - Case 3'!AM195</f>
        <v>0</v>
      </c>
      <c r="AI105" s="751">
        <f>Parameters!S275</f>
        <v>0.71500000000000008</v>
      </c>
      <c r="AJ105" s="751">
        <f t="shared" si="70"/>
        <v>0.4</v>
      </c>
      <c r="AK105" s="752">
        <f t="shared" si="71"/>
        <v>0</v>
      </c>
      <c r="AL105" s="752">
        <f t="shared" si="72"/>
        <v>0</v>
      </c>
      <c r="AM105" s="753">
        <f t="shared" si="73"/>
        <v>0</v>
      </c>
      <c r="AN105" s="752">
        <f t="shared" si="74"/>
        <v>4636.1757523043043</v>
      </c>
      <c r="AO105" s="752">
        <f t="shared" si="75"/>
        <v>237.7018138125797</v>
      </c>
      <c r="AP105" s="754">
        <f t="shared" si="76"/>
        <v>158.46787587505312</v>
      </c>
      <c r="AR105" s="740">
        <f>'Recycling - Case 3'!G115</f>
        <v>779.34899035624392</v>
      </c>
      <c r="AS105" s="736">
        <v>1</v>
      </c>
      <c r="AT105" s="736">
        <f t="shared" si="77"/>
        <v>0.05</v>
      </c>
      <c r="AU105" s="734">
        <f t="shared" si="78"/>
        <v>19.483724758906099</v>
      </c>
      <c r="AV105" s="734">
        <f t="shared" si="79"/>
        <v>19.483724758906099</v>
      </c>
      <c r="AW105" s="737">
        <f t="shared" si="80"/>
        <v>0</v>
      </c>
      <c r="AX105" s="734">
        <f t="shared" si="44"/>
        <v>245.32343616543855</v>
      </c>
      <c r="AY105" s="734">
        <f t="shared" si="49"/>
        <v>13.965147826180624</v>
      </c>
      <c r="AZ105" s="808">
        <f t="shared" si="47"/>
        <v>9.3100985507870835</v>
      </c>
      <c r="BB105" s="913">
        <f t="shared" si="81"/>
        <v>276.1889751755437</v>
      </c>
      <c r="BC105" s="914">
        <f t="shared" si="82"/>
        <v>158.46787587505312</v>
      </c>
      <c r="BD105" s="933">
        <f t="shared" si="90"/>
        <v>9.3100985507870835</v>
      </c>
      <c r="BE105" s="914">
        <f t="shared" si="54"/>
        <v>443.96694960138393</v>
      </c>
      <c r="BF105" s="145">
        <v>0</v>
      </c>
      <c r="BG105" s="927">
        <f t="shared" si="83"/>
        <v>443.96694960138393</v>
      </c>
      <c r="BI105" s="913">
        <f t="shared" si="84"/>
        <v>276.1889751755437</v>
      </c>
      <c r="BJ105" s="914">
        <f t="shared" si="85"/>
        <v>158.46787587505312</v>
      </c>
      <c r="BK105" s="933">
        <f t="shared" si="86"/>
        <v>9.3100985507870835</v>
      </c>
      <c r="BL105" s="914">
        <f t="shared" si="55"/>
        <v>443.96694960138393</v>
      </c>
      <c r="BM105" s="145">
        <v>0</v>
      </c>
      <c r="BN105" s="927">
        <f t="shared" si="87"/>
        <v>443.96694960138393</v>
      </c>
    </row>
    <row r="106" spans="1:66">
      <c r="A106" s="805">
        <f>'Input data'!A136</f>
        <v>2036</v>
      </c>
      <c r="B106" s="728">
        <f>'Input data'!B136</f>
        <v>69.322810489383542</v>
      </c>
      <c r="C106" s="728">
        <f>'Recycling - Case 3'!AK116/B106</f>
        <v>277.28958269275716</v>
      </c>
      <c r="D106" s="729">
        <f>'Recycling - Case 3'!AM116</f>
        <v>0.11594782602683691</v>
      </c>
      <c r="E106" s="729">
        <f>'Recycling - Case 3'!BE116</f>
        <v>0.21535447797222657</v>
      </c>
      <c r="F106" s="729">
        <f>'Recycling - Case 3'!BF116</f>
        <v>0.27312773934009704</v>
      </c>
      <c r="G106" s="729">
        <f>'Recycling - Case 3'!BG116</f>
        <v>5.4468904822246644E-2</v>
      </c>
      <c r="H106" s="729">
        <f>'Recycling - Case 3'!BH116</f>
        <v>0</v>
      </c>
      <c r="I106" s="729">
        <f>'Recycling - Case 3'!BI116</f>
        <v>0</v>
      </c>
      <c r="J106" s="729">
        <f>'Recycling - Case 3'!BJ116</f>
        <v>0</v>
      </c>
      <c r="K106" s="729">
        <f>'Recycling - Case 3'!BK116</f>
        <v>0.45704887786542958</v>
      </c>
      <c r="L106" s="730">
        <f t="shared" si="89"/>
        <v>0.99999999999999978</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3'!AM156</f>
        <v>0</v>
      </c>
      <c r="Y106" s="751">
        <f>Parameters!S276</f>
        <v>0.71500000000000008</v>
      </c>
      <c r="Z106" s="751">
        <f t="shared" si="63"/>
        <v>0.4</v>
      </c>
      <c r="AA106" s="752">
        <f t="shared" si="64"/>
        <v>0</v>
      </c>
      <c r="AB106" s="752">
        <f t="shared" si="65"/>
        <v>0</v>
      </c>
      <c r="AC106" s="753">
        <f t="shared" si="66"/>
        <v>0</v>
      </c>
      <c r="AD106" s="752">
        <f t="shared" si="67"/>
        <v>4410.0667927485883</v>
      </c>
      <c r="AE106" s="752">
        <f t="shared" si="68"/>
        <v>226.10895955571607</v>
      </c>
      <c r="AF106" s="754">
        <f t="shared" si="69"/>
        <v>150.73930637047738</v>
      </c>
      <c r="AH106" s="750">
        <f>'Recycling - Case 3'!AM196</f>
        <v>0</v>
      </c>
      <c r="AI106" s="751">
        <f>Parameters!S276</f>
        <v>0.71500000000000008</v>
      </c>
      <c r="AJ106" s="751">
        <f t="shared" si="70"/>
        <v>0.4</v>
      </c>
      <c r="AK106" s="752">
        <f t="shared" si="71"/>
        <v>0</v>
      </c>
      <c r="AL106" s="752">
        <f t="shared" si="72"/>
        <v>0</v>
      </c>
      <c r="AM106" s="753">
        <f t="shared" si="73"/>
        <v>0</v>
      </c>
      <c r="AN106" s="752">
        <f t="shared" si="74"/>
        <v>4410.0667927485883</v>
      </c>
      <c r="AO106" s="752">
        <f t="shared" si="75"/>
        <v>226.10895955571607</v>
      </c>
      <c r="AP106" s="754">
        <f t="shared" si="76"/>
        <v>150.73930637047738</v>
      </c>
      <c r="AR106" s="740">
        <f>'Recycling - Case 3'!G116</f>
        <v>785.05472623652952</v>
      </c>
      <c r="AS106" s="736">
        <v>1</v>
      </c>
      <c r="AT106" s="736">
        <f t="shared" si="77"/>
        <v>0.05</v>
      </c>
      <c r="AU106" s="734">
        <f t="shared" si="78"/>
        <v>19.626368155913241</v>
      </c>
      <c r="AV106" s="734">
        <f t="shared" si="79"/>
        <v>19.626368155913241</v>
      </c>
      <c r="AW106" s="737">
        <f t="shared" si="80"/>
        <v>0</v>
      </c>
      <c r="AX106" s="734">
        <f t="shared" si="44"/>
        <v>250.66327959354268</v>
      </c>
      <c r="AY106" s="734">
        <f t="shared" si="49"/>
        <v>14.2865247278091</v>
      </c>
      <c r="AZ106" s="808">
        <f t="shared" si="47"/>
        <v>9.5243498185394007</v>
      </c>
      <c r="BB106" s="913">
        <f t="shared" si="81"/>
        <v>266.65204881278231</v>
      </c>
      <c r="BC106" s="914">
        <f t="shared" si="82"/>
        <v>150.73930637047738</v>
      </c>
      <c r="BD106" s="933">
        <f t="shared" si="90"/>
        <v>9.5243498185394007</v>
      </c>
      <c r="BE106" s="914">
        <f t="shared" si="54"/>
        <v>426.9157050017991</v>
      </c>
      <c r="BF106" s="145">
        <v>0</v>
      </c>
      <c r="BG106" s="927">
        <f t="shared" si="83"/>
        <v>426.9157050017991</v>
      </c>
      <c r="BI106" s="913">
        <f t="shared" si="84"/>
        <v>266.65204881278231</v>
      </c>
      <c r="BJ106" s="914">
        <f t="shared" si="85"/>
        <v>150.73930637047738</v>
      </c>
      <c r="BK106" s="933">
        <f t="shared" si="86"/>
        <v>9.5243498185394007</v>
      </c>
      <c r="BL106" s="914">
        <f t="shared" si="55"/>
        <v>426.9157050017991</v>
      </c>
      <c r="BM106" s="145">
        <v>0</v>
      </c>
      <c r="BN106" s="927">
        <f t="shared" si="87"/>
        <v>426.9157050017991</v>
      </c>
    </row>
    <row r="107" spans="1:66">
      <c r="A107" s="805">
        <f>'Input data'!A137</f>
        <v>2037</v>
      </c>
      <c r="B107" s="728">
        <f>'Input data'!B137</f>
        <v>69.830333629884052</v>
      </c>
      <c r="C107" s="728">
        <f>'Recycling - Case 3'!AK117/B107</f>
        <v>276.25764791535482</v>
      </c>
      <c r="D107" s="729">
        <f>'Recycling - Case 3'!AM117</f>
        <v>0.11553508790560191</v>
      </c>
      <c r="E107" s="729">
        <f>'Recycling - Case 3'!BE117</f>
        <v>0.21590416467961743</v>
      </c>
      <c r="F107" s="729">
        <f>'Recycling - Case 3'!BF117</f>
        <v>0.27382489079544936</v>
      </c>
      <c r="G107" s="729">
        <f>'Recycling - Case 3'!BG117</f>
        <v>5.4336135422015146E-2</v>
      </c>
      <c r="H107" s="729">
        <f>'Recycling - Case 3'!BH117</f>
        <v>0</v>
      </c>
      <c r="I107" s="729">
        <f>'Recycling - Case 3'!BI117</f>
        <v>0</v>
      </c>
      <c r="J107" s="729">
        <f>'Recycling - Case 3'!BJ117</f>
        <v>0</v>
      </c>
      <c r="K107" s="729">
        <f>'Recycling - Case 3'!BK117</f>
        <v>0.45593480910291828</v>
      </c>
      <c r="L107" s="730">
        <f t="shared" si="89"/>
        <v>1.0000000000000002</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3'!AM157</f>
        <v>0</v>
      </c>
      <c r="Y107" s="751">
        <f>Parameters!S277</f>
        <v>0.71500000000000008</v>
      </c>
      <c r="Z107" s="751">
        <f t="shared" si="63"/>
        <v>0.4</v>
      </c>
      <c r="AA107" s="752">
        <f t="shared" si="64"/>
        <v>0</v>
      </c>
      <c r="AB107" s="752">
        <f t="shared" si="65"/>
        <v>0</v>
      </c>
      <c r="AC107" s="753">
        <f t="shared" si="66"/>
        <v>0</v>
      </c>
      <c r="AD107" s="752">
        <f t="shared" si="67"/>
        <v>4194.9852972759491</v>
      </c>
      <c r="AE107" s="752">
        <f t="shared" si="68"/>
        <v>215.08149547263903</v>
      </c>
      <c r="AF107" s="754">
        <f t="shared" si="69"/>
        <v>143.38766364842601</v>
      </c>
      <c r="AH107" s="750">
        <f>'Recycling - Case 3'!AM197</f>
        <v>0</v>
      </c>
      <c r="AI107" s="751">
        <f>Parameters!S277</f>
        <v>0.71500000000000008</v>
      </c>
      <c r="AJ107" s="751">
        <f t="shared" si="70"/>
        <v>0.4</v>
      </c>
      <c r="AK107" s="752">
        <f t="shared" si="71"/>
        <v>0</v>
      </c>
      <c r="AL107" s="752">
        <f t="shared" si="72"/>
        <v>0</v>
      </c>
      <c r="AM107" s="753">
        <f t="shared" si="73"/>
        <v>0</v>
      </c>
      <c r="AN107" s="752">
        <f t="shared" si="74"/>
        <v>4194.9852972759491</v>
      </c>
      <c r="AO107" s="752">
        <f t="shared" si="75"/>
        <v>215.08149547263903</v>
      </c>
      <c r="AP107" s="754">
        <f t="shared" si="76"/>
        <v>143.38766364842601</v>
      </c>
      <c r="AR107" s="740">
        <f>'Recycling - Case 3'!G117</f>
        <v>790.80223470180374</v>
      </c>
      <c r="AS107" s="736">
        <v>1</v>
      </c>
      <c r="AT107" s="736">
        <f t="shared" si="77"/>
        <v>0.05</v>
      </c>
      <c r="AU107" s="734">
        <f t="shared" si="78"/>
        <v>19.770055867545096</v>
      </c>
      <c r="AV107" s="734">
        <f t="shared" si="79"/>
        <v>19.770055867545096</v>
      </c>
      <c r="AW107" s="737">
        <f t="shared" si="80"/>
        <v>0</v>
      </c>
      <c r="AX107" s="734">
        <f t="shared" si="44"/>
        <v>255.83584246065595</v>
      </c>
      <c r="AY107" s="734">
        <f t="shared" si="49"/>
        <v>14.597493000431829</v>
      </c>
      <c r="AZ107" s="808">
        <f t="shared" si="47"/>
        <v>9.7316620002878853</v>
      </c>
      <c r="BB107" s="913">
        <f t="shared" si="81"/>
        <v>257.58643420683467</v>
      </c>
      <c r="BC107" s="914">
        <f t="shared" si="82"/>
        <v>143.38766364842601</v>
      </c>
      <c r="BD107" s="933">
        <f t="shared" si="90"/>
        <v>9.7316620002878853</v>
      </c>
      <c r="BE107" s="914">
        <f t="shared" si="54"/>
        <v>410.70575985554854</v>
      </c>
      <c r="BF107" s="145">
        <v>0</v>
      </c>
      <c r="BG107" s="927">
        <f t="shared" si="83"/>
        <v>410.70575985554854</v>
      </c>
      <c r="BI107" s="913">
        <f t="shared" si="84"/>
        <v>257.58643420683467</v>
      </c>
      <c r="BJ107" s="914">
        <f t="shared" si="85"/>
        <v>143.38766364842601</v>
      </c>
      <c r="BK107" s="933">
        <f t="shared" si="86"/>
        <v>9.7316620002878853</v>
      </c>
      <c r="BL107" s="914">
        <f t="shared" si="55"/>
        <v>410.70575985554854</v>
      </c>
      <c r="BM107" s="145">
        <v>0</v>
      </c>
      <c r="BN107" s="927">
        <f t="shared" si="87"/>
        <v>410.70575985554854</v>
      </c>
    </row>
    <row r="108" spans="1:66">
      <c r="A108" s="805">
        <f>'Input data'!A138</f>
        <v>2038</v>
      </c>
      <c r="B108" s="728">
        <f>'Input data'!B138</f>
        <v>70.341572426693446</v>
      </c>
      <c r="C108" s="728">
        <f>'Recycling - Case 3'!AK118/B108</f>
        <v>275.23380642431778</v>
      </c>
      <c r="D108" s="729">
        <f>'Recycling - Case 3'!AM118</f>
        <v>0.11512204010082239</v>
      </c>
      <c r="E108" s="729">
        <f>'Recycling - Case 3'!BE118</f>
        <v>0.21644721208362872</v>
      </c>
      <c r="F108" s="729">
        <f>'Recycling - Case 3'!BF118</f>
        <v>0.27451362181794159</v>
      </c>
      <c r="G108" s="729">
        <f>'Recycling - Case 3'!BG118</f>
        <v>5.4204969655846105E-2</v>
      </c>
      <c r="H108" s="729">
        <f>'Recycling - Case 3'!BH118</f>
        <v>0</v>
      </c>
      <c r="I108" s="729">
        <f>'Recycling - Case 3'!BI118</f>
        <v>0</v>
      </c>
      <c r="J108" s="729">
        <f>'Recycling - Case 3'!BJ118</f>
        <v>0</v>
      </c>
      <c r="K108" s="729">
        <f>'Recycling - Case 3'!BK118</f>
        <v>0.45483419644258377</v>
      </c>
      <c r="L108" s="730">
        <f t="shared" si="89"/>
        <v>1.0000000000000002</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3'!AM158</f>
        <v>0</v>
      </c>
      <c r="Y108" s="751">
        <f>Parameters!S278</f>
        <v>0.71500000000000008</v>
      </c>
      <c r="Z108" s="751">
        <f t="shared" si="63"/>
        <v>0.4</v>
      </c>
      <c r="AA108" s="752">
        <f t="shared" si="64"/>
        <v>0</v>
      </c>
      <c r="AB108" s="752">
        <f t="shared" si="65"/>
        <v>0</v>
      </c>
      <c r="AC108" s="753">
        <f t="shared" si="66"/>
        <v>0</v>
      </c>
      <c r="AD108" s="752">
        <f t="shared" si="67"/>
        <v>3990.3934501167578</v>
      </c>
      <c r="AE108" s="752">
        <f t="shared" si="68"/>
        <v>204.59184715919133</v>
      </c>
      <c r="AF108" s="754">
        <f t="shared" si="69"/>
        <v>136.39456477279421</v>
      </c>
      <c r="AH108" s="750">
        <f>'Recycling - Case 3'!AM198</f>
        <v>0</v>
      </c>
      <c r="AI108" s="751">
        <f>Parameters!S278</f>
        <v>0.71500000000000008</v>
      </c>
      <c r="AJ108" s="751">
        <f t="shared" si="70"/>
        <v>0.4</v>
      </c>
      <c r="AK108" s="752">
        <f t="shared" si="71"/>
        <v>0</v>
      </c>
      <c r="AL108" s="752">
        <f t="shared" si="72"/>
        <v>0</v>
      </c>
      <c r="AM108" s="753">
        <f t="shared" si="73"/>
        <v>0</v>
      </c>
      <c r="AN108" s="752">
        <f t="shared" si="74"/>
        <v>3990.3934501167578</v>
      </c>
      <c r="AO108" s="752">
        <f t="shared" si="75"/>
        <v>204.59184715919133</v>
      </c>
      <c r="AP108" s="754">
        <f t="shared" si="76"/>
        <v>136.39456477279421</v>
      </c>
      <c r="AR108" s="740">
        <f>'Recycling - Case 3'!G118</f>
        <v>796.5918215756966</v>
      </c>
      <c r="AS108" s="736">
        <v>1</v>
      </c>
      <c r="AT108" s="736">
        <f t="shared" si="77"/>
        <v>0.05</v>
      </c>
      <c r="AU108" s="734">
        <f t="shared" si="78"/>
        <v>19.914795539392415</v>
      </c>
      <c r="AV108" s="734">
        <f t="shared" si="79"/>
        <v>19.914795539392415</v>
      </c>
      <c r="AW108" s="737">
        <f t="shared" si="80"/>
        <v>0</v>
      </c>
      <c r="AX108" s="734">
        <f t="shared" si="44"/>
        <v>260.85191838848539</v>
      </c>
      <c r="AY108" s="734">
        <f t="shared" si="49"/>
        <v>14.898719611562965</v>
      </c>
      <c r="AZ108" s="808">
        <f t="shared" si="47"/>
        <v>9.932479741041977</v>
      </c>
      <c r="BB108" s="913">
        <f t="shared" si="81"/>
        <v>248.9690701520926</v>
      </c>
      <c r="BC108" s="914">
        <f t="shared" si="82"/>
        <v>136.39456477279421</v>
      </c>
      <c r="BD108" s="933">
        <f t="shared" si="90"/>
        <v>9.932479741041977</v>
      </c>
      <c r="BE108" s="914">
        <f t="shared" si="54"/>
        <v>395.29611466592877</v>
      </c>
      <c r="BF108" s="145">
        <v>0</v>
      </c>
      <c r="BG108" s="927">
        <f t="shared" si="83"/>
        <v>395.29611466592877</v>
      </c>
      <c r="BI108" s="913">
        <f t="shared" si="84"/>
        <v>248.9690701520926</v>
      </c>
      <c r="BJ108" s="914">
        <f t="shared" si="85"/>
        <v>136.39456477279421</v>
      </c>
      <c r="BK108" s="933">
        <f t="shared" si="86"/>
        <v>9.932479741041977</v>
      </c>
      <c r="BL108" s="914">
        <f t="shared" si="55"/>
        <v>395.29611466592877</v>
      </c>
      <c r="BM108" s="145">
        <v>0</v>
      </c>
      <c r="BN108" s="927">
        <f t="shared" si="87"/>
        <v>395.29611466592877</v>
      </c>
    </row>
    <row r="109" spans="1:66">
      <c r="A109" s="805">
        <f>'Input data'!A139</f>
        <v>2039</v>
      </c>
      <c r="B109" s="728">
        <f>'Input data'!B139</f>
        <v>70.856554082712819</v>
      </c>
      <c r="C109" s="728">
        <f>'Recycling - Case 3'!AK119/B109</f>
        <v>274.21798658222781</v>
      </c>
      <c r="D109" s="729">
        <f>'Recycling - Case 3'!AM119</f>
        <v>0.11470870066993408</v>
      </c>
      <c r="E109" s="729">
        <f>'Recycling - Case 3'!BE119</f>
        <v>0.21698372556164097</v>
      </c>
      <c r="F109" s="729">
        <f>'Recycling - Case 3'!BF119</f>
        <v>0.27519406605460101</v>
      </c>
      <c r="G109" s="729">
        <f>'Recycling - Case 3'!BG119</f>
        <v>5.4075382071256443E-2</v>
      </c>
      <c r="H109" s="729">
        <f>'Recycling - Case 3'!BH119</f>
        <v>0</v>
      </c>
      <c r="I109" s="729">
        <f>'Recycling - Case 3'!BI119</f>
        <v>0</v>
      </c>
      <c r="J109" s="729">
        <f>'Recycling - Case 3'!BJ119</f>
        <v>0</v>
      </c>
      <c r="K109" s="729">
        <f>'Recycling - Case 3'!BK119</f>
        <v>0.45374682631250152</v>
      </c>
      <c r="L109" s="730">
        <f t="shared" si="89"/>
        <v>0.99999999999999989</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3'!AM159</f>
        <v>0</v>
      </c>
      <c r="Y109" s="751">
        <f>Parameters!S279</f>
        <v>0.71500000000000008</v>
      </c>
      <c r="Z109" s="751">
        <f t="shared" si="63"/>
        <v>0.4</v>
      </c>
      <c r="AA109" s="752">
        <f t="shared" si="64"/>
        <v>0</v>
      </c>
      <c r="AB109" s="752">
        <f t="shared" si="65"/>
        <v>0</v>
      </c>
      <c r="AC109" s="753">
        <f t="shared" si="66"/>
        <v>0</v>
      </c>
      <c r="AD109" s="752">
        <f t="shared" si="67"/>
        <v>3795.7796650859823</v>
      </c>
      <c r="AE109" s="752">
        <f t="shared" si="68"/>
        <v>194.6137850307756</v>
      </c>
      <c r="AF109" s="754">
        <f t="shared" si="69"/>
        <v>129.7425233538504</v>
      </c>
      <c r="AH109" s="750">
        <f>'Recycling - Case 3'!AM199</f>
        <v>0</v>
      </c>
      <c r="AI109" s="751">
        <f>Parameters!S279</f>
        <v>0.71500000000000008</v>
      </c>
      <c r="AJ109" s="751">
        <f t="shared" si="70"/>
        <v>0.4</v>
      </c>
      <c r="AK109" s="752">
        <f t="shared" si="71"/>
        <v>0</v>
      </c>
      <c r="AL109" s="752">
        <f t="shared" si="72"/>
        <v>0</v>
      </c>
      <c r="AM109" s="753">
        <f t="shared" si="73"/>
        <v>0</v>
      </c>
      <c r="AN109" s="752">
        <f t="shared" si="74"/>
        <v>3795.7796650859823</v>
      </c>
      <c r="AO109" s="752">
        <f t="shared" si="75"/>
        <v>194.6137850307756</v>
      </c>
      <c r="AP109" s="754">
        <f t="shared" si="76"/>
        <v>129.7425233538504</v>
      </c>
      <c r="AR109" s="740">
        <f>'Recycling - Case 3'!G119</f>
        <v>802.42379492081989</v>
      </c>
      <c r="AS109" s="736">
        <v>1</v>
      </c>
      <c r="AT109" s="736">
        <f t="shared" si="77"/>
        <v>0.05</v>
      </c>
      <c r="AU109" s="734">
        <f t="shared" si="78"/>
        <v>20.060594873020499</v>
      </c>
      <c r="AV109" s="734">
        <f t="shared" si="79"/>
        <v>20.060594873020499</v>
      </c>
      <c r="AW109" s="737">
        <f t="shared" si="80"/>
        <v>0</v>
      </c>
      <c r="AX109" s="734">
        <f t="shared" si="44"/>
        <v>265.72168012870895</v>
      </c>
      <c r="AY109" s="734">
        <f t="shared" si="49"/>
        <v>15.190833132796934</v>
      </c>
      <c r="AZ109" s="808">
        <f t="shared" si="47"/>
        <v>10.127222088531289</v>
      </c>
      <c r="BB109" s="913">
        <f t="shared" si="81"/>
        <v>240.77802134841218</v>
      </c>
      <c r="BC109" s="914">
        <f t="shared" si="82"/>
        <v>129.7425233538504</v>
      </c>
      <c r="BD109" s="933">
        <f t="shared" si="90"/>
        <v>10.127222088531289</v>
      </c>
      <c r="BE109" s="914">
        <f t="shared" si="54"/>
        <v>380.64776679079387</v>
      </c>
      <c r="BF109" s="145">
        <v>0</v>
      </c>
      <c r="BG109" s="927">
        <f t="shared" si="83"/>
        <v>380.64776679079387</v>
      </c>
      <c r="BI109" s="913">
        <f t="shared" si="84"/>
        <v>240.77802134841218</v>
      </c>
      <c r="BJ109" s="914">
        <f t="shared" si="85"/>
        <v>129.7425233538504</v>
      </c>
      <c r="BK109" s="933">
        <f t="shared" si="86"/>
        <v>10.127222088531289</v>
      </c>
      <c r="BL109" s="914">
        <f t="shared" si="55"/>
        <v>380.64776679079387</v>
      </c>
      <c r="BM109" s="145">
        <v>0</v>
      </c>
      <c r="BN109" s="927">
        <f t="shared" si="87"/>
        <v>380.64776679079387</v>
      </c>
    </row>
    <row r="110" spans="1:66">
      <c r="A110" s="805">
        <f>'Input data'!A140</f>
        <v>2040</v>
      </c>
      <c r="B110" s="728">
        <f>'Input data'!B140</f>
        <v>71.375305999999995</v>
      </c>
      <c r="C110" s="728">
        <f>'Recycling - Case 3'!AK120/B110</f>
        <v>273.21011758893553</v>
      </c>
      <c r="D110" s="729">
        <f>'Recycling - Case 3'!AM120</f>
        <v>0.11429508753609822</v>
      </c>
      <c r="E110" s="729">
        <f>'Recycling - Case 3'!BE120</f>
        <v>0.21751380831394043</v>
      </c>
      <c r="F110" s="729">
        <f>'Recycling - Case 3'!BF120</f>
        <v>0.27586635439130974</v>
      </c>
      <c r="G110" s="729">
        <f>'Recycling - Case 3'!BG120</f>
        <v>5.3947347741610877E-2</v>
      </c>
      <c r="H110" s="729">
        <f>'Recycling - Case 3'!BH120</f>
        <v>0</v>
      </c>
      <c r="I110" s="729">
        <f>'Recycling - Case 3'!BI120</f>
        <v>0</v>
      </c>
      <c r="J110" s="729">
        <f>'Recycling - Case 3'!BJ120</f>
        <v>0</v>
      </c>
      <c r="K110" s="729">
        <f>'Recycling - Case 3'!BK120</f>
        <v>0.45267248955313888</v>
      </c>
      <c r="L110" s="730">
        <f t="shared" si="89"/>
        <v>1</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3'!AM160</f>
        <v>0</v>
      </c>
      <c r="Y110" s="751">
        <f>Parameters!S280</f>
        <v>0.71500000000000008</v>
      </c>
      <c r="Z110" s="751">
        <f t="shared" si="63"/>
        <v>0.4</v>
      </c>
      <c r="AA110" s="752">
        <f t="shared" si="64"/>
        <v>0</v>
      </c>
      <c r="AB110" s="752">
        <f t="shared" si="65"/>
        <v>0</v>
      </c>
      <c r="AC110" s="753">
        <f t="shared" si="66"/>
        <v>0</v>
      </c>
      <c r="AD110" s="752">
        <f t="shared" si="67"/>
        <v>3610.6573063512519</v>
      </c>
      <c r="AE110" s="752">
        <f t="shared" si="68"/>
        <v>185.12235873473037</v>
      </c>
      <c r="AF110" s="754">
        <f t="shared" si="69"/>
        <v>123.41490582315357</v>
      </c>
      <c r="AH110" s="750">
        <f>'Recycling - Case 3'!AM200</f>
        <v>0</v>
      </c>
      <c r="AI110" s="751">
        <f>Parameters!S280</f>
        <v>0.71500000000000008</v>
      </c>
      <c r="AJ110" s="751">
        <f t="shared" si="70"/>
        <v>0.4</v>
      </c>
      <c r="AK110" s="752">
        <f t="shared" si="71"/>
        <v>0</v>
      </c>
      <c r="AL110" s="752">
        <f t="shared" si="72"/>
        <v>0</v>
      </c>
      <c r="AM110" s="753">
        <f t="shared" si="73"/>
        <v>0</v>
      </c>
      <c r="AN110" s="752">
        <f t="shared" si="74"/>
        <v>3610.6573063512519</v>
      </c>
      <c r="AO110" s="752">
        <f t="shared" si="75"/>
        <v>185.12235873473037</v>
      </c>
      <c r="AP110" s="754">
        <f t="shared" si="76"/>
        <v>123.41490582315357</v>
      </c>
      <c r="AR110" s="740">
        <f>'Recycling - Case 3'!G120</f>
        <v>808.29846505516082</v>
      </c>
      <c r="AS110" s="736">
        <v>1</v>
      </c>
      <c r="AT110" s="736">
        <f t="shared" si="77"/>
        <v>0.05</v>
      </c>
      <c r="AU110" s="734">
        <f t="shared" si="78"/>
        <v>20.207461626379022</v>
      </c>
      <c r="AV110" s="734">
        <f t="shared" si="79"/>
        <v>20.207461626379022</v>
      </c>
      <c r="AW110" s="737">
        <f t="shared" si="80"/>
        <v>0</v>
      </c>
      <c r="AX110" s="734">
        <f t="shared" si="44"/>
        <v>270.45471577601552</v>
      </c>
      <c r="AY110" s="734">
        <f t="shared" si="49"/>
        <v>15.474425979072434</v>
      </c>
      <c r="AZ110" s="808">
        <f t="shared" si="47"/>
        <v>10.316283986048289</v>
      </c>
      <c r="BB110" s="913">
        <f t="shared" si="81"/>
        <v>232.9924234651935</v>
      </c>
      <c r="BC110" s="914">
        <f t="shared" si="82"/>
        <v>123.41490582315357</v>
      </c>
      <c r="BD110" s="933">
        <f t="shared" si="90"/>
        <v>10.316283986048289</v>
      </c>
      <c r="BE110" s="914">
        <f t="shared" si="54"/>
        <v>366.72361327439535</v>
      </c>
      <c r="BF110" s="145">
        <v>0</v>
      </c>
      <c r="BG110" s="927">
        <f t="shared" si="83"/>
        <v>366.72361327439535</v>
      </c>
      <c r="BI110" s="913">
        <f t="shared" si="84"/>
        <v>232.9924234651935</v>
      </c>
      <c r="BJ110" s="914">
        <f t="shared" si="85"/>
        <v>123.41490582315357</v>
      </c>
      <c r="BK110" s="933">
        <f t="shared" si="86"/>
        <v>10.316283986048289</v>
      </c>
      <c r="BL110" s="914">
        <f t="shared" si="55"/>
        <v>366.72361327439535</v>
      </c>
      <c r="BM110" s="145">
        <v>0</v>
      </c>
      <c r="BN110" s="927">
        <f t="shared" si="87"/>
        <v>366.72361327439535</v>
      </c>
    </row>
    <row r="111" spans="1:66">
      <c r="A111" s="805">
        <f>'Input data'!A141</f>
        <v>2041</v>
      </c>
      <c r="B111" s="728">
        <f>'Input data'!B141</f>
        <v>71.818612994947316</v>
      </c>
      <c r="C111" s="728">
        <f>'Recycling - Case 3'!AK121/B111</f>
        <v>272.36080273005246</v>
      </c>
      <c r="D111" s="729">
        <f>'Recycling - Case 3'!AM121</f>
        <v>0.11394380208981811</v>
      </c>
      <c r="E111" s="729">
        <f>'Recycling - Case 3'!BE121</f>
        <v>0.2179587836733877</v>
      </c>
      <c r="F111" s="729">
        <f>'Recycling - Case 3'!BF121</f>
        <v>0.276430703529216</v>
      </c>
      <c r="G111" s="729">
        <f>'Recycling - Case 3'!BG121</f>
        <v>5.3839869953268366E-2</v>
      </c>
      <c r="H111" s="729">
        <f>'Recycling - Case 3'!BH121</f>
        <v>0</v>
      </c>
      <c r="I111" s="729">
        <f>'Recycling - Case 3'!BI121</f>
        <v>0</v>
      </c>
      <c r="J111" s="729">
        <f>'Recycling - Case 3'!BJ121</f>
        <v>0</v>
      </c>
      <c r="K111" s="729">
        <f>'Recycling - Case 3'!BK121</f>
        <v>0.45177064284412771</v>
      </c>
      <c r="L111" s="730">
        <f t="shared" si="89"/>
        <v>0.99999999999999978</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0.10951590623815871</v>
      </c>
      <c r="Q111" s="734">
        <f t="shared" si="57"/>
        <v>122.0448706893507</v>
      </c>
      <c r="R111" s="734">
        <f t="shared" si="58"/>
        <v>122.0448706893507</v>
      </c>
      <c r="S111" s="737">
        <f t="shared" si="59"/>
        <v>0</v>
      </c>
      <c r="T111" s="734">
        <f t="shared" si="60"/>
        <v>6722.0333680345993</v>
      </c>
      <c r="U111" s="734">
        <f t="shared" si="61"/>
        <v>338.38864632803831</v>
      </c>
      <c r="V111" s="741">
        <f t="shared" si="62"/>
        <v>225.59243088535888</v>
      </c>
      <c r="X111" s="750">
        <f>'Recycling - Case 3'!AM161</f>
        <v>0</v>
      </c>
      <c r="Y111" s="751">
        <f>Parameters!S281</f>
        <v>0.71500000000000008</v>
      </c>
      <c r="Z111" s="751">
        <f t="shared" si="63"/>
        <v>0.4</v>
      </c>
      <c r="AA111" s="752">
        <f t="shared" si="64"/>
        <v>0</v>
      </c>
      <c r="AB111" s="752">
        <f t="shared" si="65"/>
        <v>0</v>
      </c>
      <c r="AC111" s="753">
        <f t="shared" si="66"/>
        <v>0</v>
      </c>
      <c r="AD111" s="752">
        <f t="shared" si="67"/>
        <v>3434.5634715897995</v>
      </c>
      <c r="AE111" s="752">
        <f t="shared" si="68"/>
        <v>176.09383476145229</v>
      </c>
      <c r="AF111" s="754">
        <f t="shared" si="69"/>
        <v>117.3958898409682</v>
      </c>
      <c r="AH111" s="750">
        <f>'Recycling - Case 3'!AM201</f>
        <v>0</v>
      </c>
      <c r="AI111" s="751">
        <f>Parameters!S281</f>
        <v>0.71500000000000008</v>
      </c>
      <c r="AJ111" s="751">
        <f t="shared" si="70"/>
        <v>0.4</v>
      </c>
      <c r="AK111" s="752">
        <f t="shared" si="71"/>
        <v>0</v>
      </c>
      <c r="AL111" s="752">
        <f t="shared" si="72"/>
        <v>0</v>
      </c>
      <c r="AM111" s="753">
        <f t="shared" si="73"/>
        <v>0</v>
      </c>
      <c r="AN111" s="752">
        <f t="shared" si="74"/>
        <v>3434.5634715897995</v>
      </c>
      <c r="AO111" s="752">
        <f t="shared" si="75"/>
        <v>176.09383476145229</v>
      </c>
      <c r="AP111" s="754">
        <f t="shared" si="76"/>
        <v>117.3958898409682</v>
      </c>
      <c r="AR111" s="740">
        <f>'Recycling - Case 3'!G121</f>
        <v>813.31874985175614</v>
      </c>
      <c r="AS111" s="736">
        <v>1</v>
      </c>
      <c r="AT111" s="736">
        <f t="shared" si="77"/>
        <v>0.05</v>
      </c>
      <c r="AU111" s="734">
        <f t="shared" si="78"/>
        <v>20.332968746293904</v>
      </c>
      <c r="AV111" s="734">
        <f t="shared" si="79"/>
        <v>20.332968746293904</v>
      </c>
      <c r="AW111" s="737">
        <f t="shared" si="80"/>
        <v>0</v>
      </c>
      <c r="AX111" s="734">
        <f t="shared" si="44"/>
        <v>275.03762800475369</v>
      </c>
      <c r="AY111" s="734">
        <f t="shared" si="49"/>
        <v>15.750056517555709</v>
      </c>
      <c r="AZ111" s="808">
        <f t="shared" si="47"/>
        <v>10.500037678370473</v>
      </c>
      <c r="BB111" s="913">
        <f t="shared" si="81"/>
        <v>225.59243088535888</v>
      </c>
      <c r="BC111" s="914">
        <f t="shared" si="82"/>
        <v>117.3958898409682</v>
      </c>
      <c r="BD111" s="933">
        <f t="shared" si="90"/>
        <v>10.500037678370473</v>
      </c>
      <c r="BE111" s="914">
        <f t="shared" si="54"/>
        <v>353.48835840469752</v>
      </c>
      <c r="BF111" s="145">
        <v>0</v>
      </c>
      <c r="BG111" s="927">
        <f t="shared" si="83"/>
        <v>353.48835840469752</v>
      </c>
      <c r="BI111" s="913">
        <f t="shared" si="84"/>
        <v>225.59243088535888</v>
      </c>
      <c r="BJ111" s="914">
        <f t="shared" si="85"/>
        <v>117.3958898409682</v>
      </c>
      <c r="BK111" s="933">
        <f t="shared" si="86"/>
        <v>10.500037678370473</v>
      </c>
      <c r="BL111" s="914">
        <f t="shared" si="55"/>
        <v>353.48835840469752</v>
      </c>
      <c r="BM111" s="145">
        <v>0</v>
      </c>
      <c r="BN111" s="927">
        <f t="shared" si="87"/>
        <v>353.48835840469752</v>
      </c>
    </row>
    <row r="112" spans="1:66">
      <c r="A112" s="805">
        <f>'Input data'!A142</f>
        <v>2042</v>
      </c>
      <c r="B112" s="728">
        <f>'Input data'!B142</f>
        <v>72.264673338395411</v>
      </c>
      <c r="C112" s="728">
        <f>'Recycling - Case 3'!AK122/B112</f>
        <v>271.51712367627835</v>
      </c>
      <c r="D112" s="729">
        <f>'Recycling - Case 3'!AM122</f>
        <v>0.11359234306754344</v>
      </c>
      <c r="E112" s="729">
        <f>'Recycling - Case 3'!BE122</f>
        <v>0.21839925921131736</v>
      </c>
      <c r="F112" s="729">
        <f>'Recycling - Case 3'!BF122</f>
        <v>0.27698934567607147</v>
      </c>
      <c r="G112" s="729">
        <f>'Recycling - Case 3'!BG122</f>
        <v>5.373347903603997E-2</v>
      </c>
      <c r="H112" s="729">
        <f>'Recycling - Case 3'!BH122</f>
        <v>0</v>
      </c>
      <c r="I112" s="729">
        <f>'Recycling - Case 3'!BI122</f>
        <v>0</v>
      </c>
      <c r="J112" s="729">
        <f>'Recycling - Case 3'!BJ122</f>
        <v>0</v>
      </c>
      <c r="K112" s="729">
        <f>'Recycling - Case 3'!BK122</f>
        <v>0.45087791607657107</v>
      </c>
      <c r="L112" s="730">
        <f t="shared" si="89"/>
        <v>0.99999999999999978</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0.1096511496313279</v>
      </c>
      <c r="Q112" s="734">
        <f t="shared" si="57"/>
        <v>122.19558635247115</v>
      </c>
      <c r="R112" s="734">
        <f t="shared" si="58"/>
        <v>122.19558635247115</v>
      </c>
      <c r="S112" s="737">
        <f t="shared" si="59"/>
        <v>0</v>
      </c>
      <c r="T112" s="734">
        <f t="shared" si="60"/>
        <v>6516.391518502619</v>
      </c>
      <c r="U112" s="734">
        <f t="shared" si="61"/>
        <v>327.83743588445105</v>
      </c>
      <c r="V112" s="741">
        <f t="shared" si="62"/>
        <v>218.55829058963403</v>
      </c>
      <c r="X112" s="750">
        <f>'Recycling - Case 3'!AM162</f>
        <v>0</v>
      </c>
      <c r="Y112" s="751">
        <f>Parameters!S282</f>
        <v>0.71500000000000008</v>
      </c>
      <c r="Z112" s="751">
        <f t="shared" si="63"/>
        <v>0.4</v>
      </c>
      <c r="AA112" s="752">
        <f t="shared" si="64"/>
        <v>0</v>
      </c>
      <c r="AB112" s="752">
        <f t="shared" si="65"/>
        <v>0</v>
      </c>
      <c r="AC112" s="753">
        <f t="shared" si="66"/>
        <v>0</v>
      </c>
      <c r="AD112" s="752">
        <f t="shared" si="67"/>
        <v>3267.0578344915393</v>
      </c>
      <c r="AE112" s="752">
        <f t="shared" si="68"/>
        <v>167.50563709826008</v>
      </c>
      <c r="AF112" s="754">
        <f t="shared" si="69"/>
        <v>111.67042473217339</v>
      </c>
      <c r="AH112" s="750">
        <f>'Recycling - Case 3'!AM202</f>
        <v>0</v>
      </c>
      <c r="AI112" s="751">
        <f>Parameters!S282</f>
        <v>0.71500000000000008</v>
      </c>
      <c r="AJ112" s="751">
        <f t="shared" si="70"/>
        <v>0.4</v>
      </c>
      <c r="AK112" s="752">
        <f t="shared" si="71"/>
        <v>0</v>
      </c>
      <c r="AL112" s="752">
        <f t="shared" si="72"/>
        <v>0</v>
      </c>
      <c r="AM112" s="753">
        <f t="shared" si="73"/>
        <v>0</v>
      </c>
      <c r="AN112" s="752">
        <f t="shared" si="74"/>
        <v>3267.0578344915393</v>
      </c>
      <c r="AO112" s="752">
        <f t="shared" si="75"/>
        <v>167.50563709826008</v>
      </c>
      <c r="AP112" s="754">
        <f t="shared" si="76"/>
        <v>111.67042473217339</v>
      </c>
      <c r="AR112" s="740">
        <f>'Recycling - Case 3'!G122</f>
        <v>818.37021528338698</v>
      </c>
      <c r="AS112" s="736">
        <v>1</v>
      </c>
      <c r="AT112" s="736">
        <f t="shared" si="77"/>
        <v>0.05</v>
      </c>
      <c r="AU112" s="734">
        <f t="shared" si="78"/>
        <v>20.459255382084677</v>
      </c>
      <c r="AV112" s="734">
        <f t="shared" si="79"/>
        <v>20.459255382084677</v>
      </c>
      <c r="AW112" s="737">
        <f t="shared" si="80"/>
        <v>0</v>
      </c>
      <c r="AX112" s="734">
        <f t="shared" si="44"/>
        <v>279.47993883809966</v>
      </c>
      <c r="AY112" s="734">
        <f t="shared" si="49"/>
        <v>16.016944548738728</v>
      </c>
      <c r="AZ112" s="808">
        <f t="shared" si="47"/>
        <v>10.677963032492485</v>
      </c>
      <c r="BB112" s="913">
        <f t="shared" si="81"/>
        <v>218.55829058963403</v>
      </c>
      <c r="BC112" s="914">
        <f t="shared" si="82"/>
        <v>111.67042473217339</v>
      </c>
      <c r="BD112" s="933">
        <f t="shared" si="90"/>
        <v>10.677963032492485</v>
      </c>
      <c r="BE112" s="914">
        <f t="shared" si="54"/>
        <v>340.90667835429986</v>
      </c>
      <c r="BF112" s="145">
        <v>0</v>
      </c>
      <c r="BG112" s="927">
        <f t="shared" si="83"/>
        <v>340.90667835429986</v>
      </c>
      <c r="BI112" s="913">
        <f t="shared" si="84"/>
        <v>218.55829058963403</v>
      </c>
      <c r="BJ112" s="914">
        <f t="shared" si="85"/>
        <v>111.67042473217339</v>
      </c>
      <c r="BK112" s="933">
        <f t="shared" si="86"/>
        <v>10.677963032492485</v>
      </c>
      <c r="BL112" s="914">
        <f t="shared" si="55"/>
        <v>340.90667835429986</v>
      </c>
      <c r="BM112" s="145">
        <v>0</v>
      </c>
      <c r="BN112" s="927">
        <f t="shared" si="87"/>
        <v>340.90667835429986</v>
      </c>
    </row>
    <row r="113" spans="1:66">
      <c r="A113" s="805">
        <f>'Input data'!A143</f>
        <v>2043</v>
      </c>
      <c r="B113" s="728">
        <f>'Input data'!B143</f>
        <v>72.713504131197794</v>
      </c>
      <c r="C113" s="728">
        <f>'Recycling - Case 3'!AK123/B113</f>
        <v>270.67903850077238</v>
      </c>
      <c r="D113" s="729">
        <f>'Recycling - Case 3'!AM123</f>
        <v>0.11324072120840105</v>
      </c>
      <c r="E113" s="729">
        <f>'Recycling - Case 3'!BE123</f>
        <v>0.21883529452492329</v>
      </c>
      <c r="F113" s="729">
        <f>'Recycling - Case 3'!BF123</f>
        <v>0.27754235641724118</v>
      </c>
      <c r="G113" s="729">
        <f>'Recycling - Case 3'!BG123</f>
        <v>5.3628160595028347E-2</v>
      </c>
      <c r="H113" s="729">
        <f>'Recycling - Case 3'!BH123</f>
        <v>0</v>
      </c>
      <c r="I113" s="729">
        <f>'Recycling - Case 3'!BI123</f>
        <v>0</v>
      </c>
      <c r="J113" s="729">
        <f>'Recycling - Case 3'!BJ123</f>
        <v>0</v>
      </c>
      <c r="K113" s="729">
        <f>'Recycling - Case 3'!BK123</f>
        <v>0.4499941884628072</v>
      </c>
      <c r="L113" s="730">
        <f t="shared" si="89"/>
        <v>1</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3'!AM163</f>
        <v>0</v>
      </c>
      <c r="Y113" s="751">
        <f>Parameters!S283</f>
        <v>0.71500000000000008</v>
      </c>
      <c r="Z113" s="751">
        <f t="shared" si="63"/>
        <v>0.4</v>
      </c>
      <c r="AA113" s="752">
        <f t="shared" si="64"/>
        <v>0</v>
      </c>
      <c r="AB113" s="752">
        <f t="shared" si="65"/>
        <v>0</v>
      </c>
      <c r="AC113" s="753">
        <f t="shared" si="66"/>
        <v>0</v>
      </c>
      <c r="AD113" s="752">
        <f t="shared" si="67"/>
        <v>3107.7215437139357</v>
      </c>
      <c r="AE113" s="752">
        <f t="shared" si="68"/>
        <v>159.33629077760338</v>
      </c>
      <c r="AF113" s="754">
        <f t="shared" si="69"/>
        <v>106.22419385173559</v>
      </c>
      <c r="AH113" s="750">
        <f>'Recycling - Case 3'!AM203</f>
        <v>0</v>
      </c>
      <c r="AI113" s="751">
        <f>Parameters!S283</f>
        <v>0.71500000000000008</v>
      </c>
      <c r="AJ113" s="751">
        <f t="shared" si="70"/>
        <v>0.4</v>
      </c>
      <c r="AK113" s="752">
        <f t="shared" si="71"/>
        <v>0</v>
      </c>
      <c r="AL113" s="752">
        <f t="shared" si="72"/>
        <v>0</v>
      </c>
      <c r="AM113" s="753">
        <f t="shared" si="73"/>
        <v>0</v>
      </c>
      <c r="AN113" s="752">
        <f t="shared" si="74"/>
        <v>3107.7215437139357</v>
      </c>
      <c r="AO113" s="752">
        <f t="shared" si="75"/>
        <v>159.33629077760338</v>
      </c>
      <c r="AP113" s="754">
        <f t="shared" si="76"/>
        <v>106.22419385173559</v>
      </c>
      <c r="AR113" s="740">
        <f>'Recycling - Case 3'!G123</f>
        <v>823.4530550107803</v>
      </c>
      <c r="AS113" s="736">
        <v>1</v>
      </c>
      <c r="AT113" s="736">
        <f t="shared" si="77"/>
        <v>0.05</v>
      </c>
      <c r="AU113" s="734">
        <f t="shared" si="78"/>
        <v>20.586326375269508</v>
      </c>
      <c r="AV113" s="734">
        <f t="shared" si="79"/>
        <v>20.586326375269508</v>
      </c>
      <c r="AW113" s="737">
        <f t="shared" si="80"/>
        <v>0</v>
      </c>
      <c r="AX113" s="734">
        <f t="shared" si="44"/>
        <v>283.79062062128679</v>
      </c>
      <c r="AY113" s="734">
        <f t="shared" si="49"/>
        <v>16.275644592082376</v>
      </c>
      <c r="AZ113" s="808">
        <f t="shared" si="47"/>
        <v>10.850429728054918</v>
      </c>
      <c r="BB113" s="913">
        <f t="shared" si="81"/>
        <v>211.87210969069255</v>
      </c>
      <c r="BC113" s="914">
        <f t="shared" si="82"/>
        <v>106.22419385173559</v>
      </c>
      <c r="BD113" s="933">
        <f t="shared" si="90"/>
        <v>10.850429728054918</v>
      </c>
      <c r="BE113" s="914">
        <f t="shared" si="54"/>
        <v>328.94673327048304</v>
      </c>
      <c r="BF113" s="145">
        <v>0</v>
      </c>
      <c r="BG113" s="927">
        <f t="shared" si="83"/>
        <v>328.94673327048304</v>
      </c>
      <c r="BI113" s="913">
        <f t="shared" si="84"/>
        <v>211.87210969069255</v>
      </c>
      <c r="BJ113" s="914">
        <f t="shared" si="85"/>
        <v>106.22419385173559</v>
      </c>
      <c r="BK113" s="933">
        <f t="shared" si="86"/>
        <v>10.850429728054918</v>
      </c>
      <c r="BL113" s="914">
        <f t="shared" si="55"/>
        <v>328.94673327048304</v>
      </c>
      <c r="BM113" s="145">
        <v>0</v>
      </c>
      <c r="BN113" s="927">
        <f t="shared" si="87"/>
        <v>328.94673327048304</v>
      </c>
    </row>
    <row r="114" spans="1:66">
      <c r="A114" s="805">
        <f>'Input data'!A144</f>
        <v>2044</v>
      </c>
      <c r="B114" s="728">
        <f>'Input data'!B144</f>
        <v>73.165122580420132</v>
      </c>
      <c r="C114" s="728">
        <f>'Recycling - Case 3'!AK124/B114</f>
        <v>269.84650568336718</v>
      </c>
      <c r="D114" s="729">
        <f>'Recycling - Case 3'!AM124</f>
        <v>0.11288894718501212</v>
      </c>
      <c r="E114" s="729">
        <f>'Recycling - Case 3'!BE124</f>
        <v>0.21926694818441095</v>
      </c>
      <c r="F114" s="729">
        <f>'Recycling - Case 3'!BF124</f>
        <v>0.27808981003559108</v>
      </c>
      <c r="G114" s="729">
        <f>'Recycling - Case 3'!BG124</f>
        <v>5.3523900483391409E-2</v>
      </c>
      <c r="H114" s="729">
        <f>'Recycling - Case 3'!BH124</f>
        <v>0</v>
      </c>
      <c r="I114" s="729">
        <f>'Recycling - Case 3'!BI124</f>
        <v>0</v>
      </c>
      <c r="J114" s="729">
        <f>'Recycling - Case 3'!BJ124</f>
        <v>0</v>
      </c>
      <c r="K114" s="729">
        <f>'Recycling - Case 3'!BK124</f>
        <v>0.44911934129660652</v>
      </c>
      <c r="L114" s="730">
        <f t="shared" si="89"/>
        <v>1</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3'!AM164</f>
        <v>0</v>
      </c>
      <c r="Y114" s="751">
        <f>Parameters!S284</f>
        <v>0.71500000000000008</v>
      </c>
      <c r="Z114" s="751">
        <f t="shared" si="63"/>
        <v>0.4</v>
      </c>
      <c r="AA114" s="752">
        <f t="shared" si="64"/>
        <v>0</v>
      </c>
      <c r="AB114" s="752">
        <f t="shared" si="65"/>
        <v>0</v>
      </c>
      <c r="AC114" s="753">
        <f t="shared" si="66"/>
        <v>0</v>
      </c>
      <c r="AD114" s="752">
        <f t="shared" si="67"/>
        <v>2956.1561755354778</v>
      </c>
      <c r="AE114" s="752">
        <f t="shared" si="68"/>
        <v>151.5653681784581</v>
      </c>
      <c r="AF114" s="754">
        <f t="shared" si="69"/>
        <v>101.04357878563873</v>
      </c>
      <c r="AH114" s="750">
        <f>'Recycling - Case 3'!AM204</f>
        <v>0</v>
      </c>
      <c r="AI114" s="751">
        <f>Parameters!S284</f>
        <v>0.71500000000000008</v>
      </c>
      <c r="AJ114" s="751">
        <f t="shared" si="70"/>
        <v>0.4</v>
      </c>
      <c r="AK114" s="752">
        <f t="shared" si="71"/>
        <v>0</v>
      </c>
      <c r="AL114" s="752">
        <f t="shared" si="72"/>
        <v>0</v>
      </c>
      <c r="AM114" s="753">
        <f t="shared" si="73"/>
        <v>0</v>
      </c>
      <c r="AN114" s="752">
        <f t="shared" si="74"/>
        <v>2956.1561755354778</v>
      </c>
      <c r="AO114" s="752">
        <f t="shared" si="75"/>
        <v>151.5653681784581</v>
      </c>
      <c r="AP114" s="754">
        <f t="shared" si="76"/>
        <v>101.04357878563873</v>
      </c>
      <c r="AR114" s="740">
        <f>'Recycling - Case 3'!G124</f>
        <v>828.56746389747582</v>
      </c>
      <c r="AS114" s="736">
        <v>1</v>
      </c>
      <c r="AT114" s="736">
        <f t="shared" si="77"/>
        <v>0.05</v>
      </c>
      <c r="AU114" s="734">
        <f t="shared" si="78"/>
        <v>20.714186597436896</v>
      </c>
      <c r="AV114" s="734">
        <f t="shared" si="79"/>
        <v>20.714186597436896</v>
      </c>
      <c r="AW114" s="737">
        <f t="shared" si="80"/>
        <v>0</v>
      </c>
      <c r="AX114" s="734">
        <f t="shared" ref="AX114:AX120" si="91">AV114+(AX113*$E$8)</f>
        <v>287.97812806242752</v>
      </c>
      <c r="AY114" s="734">
        <f t="shared" si="49"/>
        <v>16.526679156296158</v>
      </c>
      <c r="AZ114" s="808">
        <f t="shared" si="47"/>
        <v>11.017786104197439</v>
      </c>
      <c r="BB114" s="913">
        <f t="shared" si="81"/>
        <v>205.51686861064377</v>
      </c>
      <c r="BC114" s="914">
        <f t="shared" si="82"/>
        <v>101.04357878563873</v>
      </c>
      <c r="BD114" s="933">
        <f t="shared" si="90"/>
        <v>11.017786104197439</v>
      </c>
      <c r="BE114" s="914">
        <f t="shared" si="54"/>
        <v>317.57823350047994</v>
      </c>
      <c r="BF114" s="145">
        <v>0</v>
      </c>
      <c r="BG114" s="927">
        <f t="shared" si="83"/>
        <v>317.57823350047994</v>
      </c>
      <c r="BI114" s="913">
        <f t="shared" si="84"/>
        <v>205.51686861064377</v>
      </c>
      <c r="BJ114" s="914">
        <f t="shared" si="85"/>
        <v>101.04357878563873</v>
      </c>
      <c r="BK114" s="933">
        <f t="shared" si="86"/>
        <v>11.017786104197439</v>
      </c>
      <c r="BL114" s="914">
        <f t="shared" si="55"/>
        <v>317.57823350047994</v>
      </c>
      <c r="BM114" s="145">
        <v>0</v>
      </c>
      <c r="BN114" s="927">
        <f t="shared" si="87"/>
        <v>317.57823350047994</v>
      </c>
    </row>
    <row r="115" spans="1:66">
      <c r="A115" s="805">
        <f>'Input data'!A145</f>
        <v>2045</v>
      </c>
      <c r="B115" s="728">
        <f>'Input data'!B145</f>
        <v>73.619545999999971</v>
      </c>
      <c r="C115" s="728">
        <f>'Recycling - Case 3'!AK125/B115</f>
        <v>269.0194841045323</v>
      </c>
      <c r="D115" s="729">
        <f>'Recycling - Case 3'!AM125</f>
        <v>0.11253703160414483</v>
      </c>
      <c r="E115" s="729">
        <f>'Recycling - Case 3'!BE125</f>
        <v>0.21969427775505454</v>
      </c>
      <c r="F115" s="729">
        <f>'Recycling - Case 3'!BF125</f>
        <v>0.27863177953946222</v>
      </c>
      <c r="G115" s="729">
        <f>'Recycling - Case 3'!BG125</f>
        <v>5.3420684797014596E-2</v>
      </c>
      <c r="H115" s="729">
        <f>'Recycling - Case 3'!BH125</f>
        <v>0</v>
      </c>
      <c r="I115" s="729">
        <f>'Recycling - Case 3'!BI125</f>
        <v>0</v>
      </c>
      <c r="J115" s="729">
        <f>'Recycling - Case 3'!BJ125</f>
        <v>0</v>
      </c>
      <c r="K115" s="729">
        <f>'Recycling - Case 3'!BK125</f>
        <v>0.44825325790846843</v>
      </c>
      <c r="L115" s="730">
        <f t="shared" si="89"/>
        <v>0.99999999999999978</v>
      </c>
      <c r="N115" s="740">
        <f t="shared" si="56"/>
        <v>2228.8062963921584</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3'!AM165</f>
        <v>88.76805148412582</v>
      </c>
      <c r="Y115" s="751">
        <f>Parameters!S285</f>
        <v>0.71500000000000008</v>
      </c>
      <c r="Z115" s="751">
        <f t="shared" si="63"/>
        <v>0.4</v>
      </c>
      <c r="AA115" s="752">
        <f t="shared" si="64"/>
        <v>12.693831362229995</v>
      </c>
      <c r="AB115" s="752">
        <f t="shared" si="65"/>
        <v>12.693831362229995</v>
      </c>
      <c r="AC115" s="753">
        <f t="shared" si="66"/>
        <v>0</v>
      </c>
      <c r="AD115" s="752">
        <f t="shared" si="67"/>
        <v>2824.6765689510744</v>
      </c>
      <c r="AE115" s="752">
        <f t="shared" si="68"/>
        <v>144.17343794663353</v>
      </c>
      <c r="AF115" s="754">
        <f t="shared" si="69"/>
        <v>96.115625297755685</v>
      </c>
      <c r="AH115" s="750">
        <f>'Recycling - Case 3'!AM205</f>
        <v>88.76805148412582</v>
      </c>
      <c r="AI115" s="751">
        <f>Parameters!S285</f>
        <v>0.71500000000000008</v>
      </c>
      <c r="AJ115" s="751">
        <f t="shared" si="70"/>
        <v>0.4</v>
      </c>
      <c r="AK115" s="752">
        <f t="shared" si="71"/>
        <v>12.693831362229995</v>
      </c>
      <c r="AL115" s="752">
        <f t="shared" si="72"/>
        <v>12.693831362229995</v>
      </c>
      <c r="AM115" s="753">
        <f t="shared" si="73"/>
        <v>0</v>
      </c>
      <c r="AN115" s="752">
        <f t="shared" si="74"/>
        <v>2824.6765689510744</v>
      </c>
      <c r="AO115" s="752">
        <f t="shared" si="75"/>
        <v>144.17343794663353</v>
      </c>
      <c r="AP115" s="754">
        <f t="shared" si="76"/>
        <v>96.115625297755685</v>
      </c>
      <c r="AR115" s="740">
        <f>'Recycling - Case 3'!G125</f>
        <v>833.71363801729672</v>
      </c>
      <c r="AS115" s="736">
        <v>1</v>
      </c>
      <c r="AT115" s="736">
        <f t="shared" si="77"/>
        <v>0.05</v>
      </c>
      <c r="AU115" s="734">
        <f t="shared" si="78"/>
        <v>20.842840950432418</v>
      </c>
      <c r="AV115" s="734">
        <f t="shared" si="79"/>
        <v>20.842840950432418</v>
      </c>
      <c r="AW115" s="737">
        <f t="shared" si="80"/>
        <v>0</v>
      </c>
      <c r="AX115" s="734">
        <f t="shared" si="91"/>
        <v>292.0504284076095</v>
      </c>
      <c r="AY115" s="734">
        <f t="shared" si="49"/>
        <v>16.770540605250417</v>
      </c>
      <c r="AZ115" s="808">
        <f t="shared" si="47"/>
        <v>11.180360403500279</v>
      </c>
      <c r="BB115" s="913">
        <f t="shared" si="81"/>
        <v>199.47637847780393</v>
      </c>
      <c r="BC115" s="914">
        <f t="shared" si="82"/>
        <v>96.115625297755685</v>
      </c>
      <c r="BD115" s="933">
        <f t="shared" si="90"/>
        <v>11.180360403500279</v>
      </c>
      <c r="BE115" s="914">
        <f t="shared" si="54"/>
        <v>306.77236417905993</v>
      </c>
      <c r="BF115" s="145">
        <v>0</v>
      </c>
      <c r="BG115" s="927">
        <f t="shared" si="83"/>
        <v>306.77236417905993</v>
      </c>
      <c r="BI115" s="913">
        <f t="shared" si="84"/>
        <v>199.47637847780393</v>
      </c>
      <c r="BJ115" s="914">
        <f t="shared" si="85"/>
        <v>96.115625297755685</v>
      </c>
      <c r="BK115" s="933">
        <f t="shared" si="86"/>
        <v>11.180360403500279</v>
      </c>
      <c r="BL115" s="914">
        <f t="shared" si="55"/>
        <v>306.77236417905993</v>
      </c>
      <c r="BM115" s="145">
        <v>0</v>
      </c>
      <c r="BN115" s="927">
        <f t="shared" si="87"/>
        <v>306.77236417905993</v>
      </c>
    </row>
    <row r="116" spans="1:66">
      <c r="A116" s="805">
        <f>'Input data'!A146</f>
        <v>2046</v>
      </c>
      <c r="B116" s="728">
        <f>'Input data'!B146</f>
        <v>73.995362001779526</v>
      </c>
      <c r="C116" s="728">
        <f>'Recycling - Case 3'!AK126/B116</f>
        <v>268.34347153368111</v>
      </c>
      <c r="D116" s="729">
        <f>'Recycling - Case 3'!AM126</f>
        <v>0.11224752992749164</v>
      </c>
      <c r="E116" s="729">
        <f>'Recycling - Case 3'!BE126</f>
        <v>0.22004249838631784</v>
      </c>
      <c r="F116" s="729">
        <f>'Recycling - Case 3'!BF126</f>
        <v>0.27907341750633474</v>
      </c>
      <c r="G116" s="729">
        <f>'Recycling - Case 3'!BG126</f>
        <v>5.3336576806518536E-2</v>
      </c>
      <c r="H116" s="729">
        <f>'Recycling - Case 3'!BH126</f>
        <v>0</v>
      </c>
      <c r="I116" s="729">
        <f>'Recycling - Case 3'!BI126</f>
        <v>0</v>
      </c>
      <c r="J116" s="729">
        <f>'Recycling - Case 3'!BJ126</f>
        <v>0</v>
      </c>
      <c r="K116" s="729">
        <f>'Recycling - Case 3'!BK126</f>
        <v>0.44754750730082893</v>
      </c>
      <c r="L116" s="730">
        <f t="shared" si="89"/>
        <v>1</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3'!AM166</f>
        <v>227.05119724611177</v>
      </c>
      <c r="Y116" s="751">
        <f>Parameters!S286</f>
        <v>0.71500000000000008</v>
      </c>
      <c r="Z116" s="751">
        <f t="shared" si="63"/>
        <v>0.4</v>
      </c>
      <c r="AA116" s="752">
        <f t="shared" si="64"/>
        <v>32.468321206193991</v>
      </c>
      <c r="AB116" s="752">
        <f t="shared" si="65"/>
        <v>32.468321206193991</v>
      </c>
      <c r="AC116" s="753">
        <f t="shared" si="66"/>
        <v>0</v>
      </c>
      <c r="AD116" s="752">
        <f t="shared" si="67"/>
        <v>2719.3837882901762</v>
      </c>
      <c r="AE116" s="752">
        <f t="shared" si="68"/>
        <v>137.76110186709246</v>
      </c>
      <c r="AF116" s="754">
        <f t="shared" si="69"/>
        <v>91.840734578061642</v>
      </c>
      <c r="AH116" s="750">
        <f>'Recycling - Case 3'!AM206</f>
        <v>227.05119724611177</v>
      </c>
      <c r="AI116" s="751">
        <f>Parameters!S286</f>
        <v>0.71500000000000008</v>
      </c>
      <c r="AJ116" s="751">
        <f t="shared" si="70"/>
        <v>0.4</v>
      </c>
      <c r="AK116" s="752">
        <f t="shared" si="71"/>
        <v>32.468321206193991</v>
      </c>
      <c r="AL116" s="752">
        <f t="shared" si="72"/>
        <v>32.468321206193991</v>
      </c>
      <c r="AM116" s="753">
        <f t="shared" si="73"/>
        <v>0</v>
      </c>
      <c r="AN116" s="752">
        <f t="shared" si="74"/>
        <v>2719.3837882901762</v>
      </c>
      <c r="AO116" s="752">
        <f t="shared" si="75"/>
        <v>137.76110186709246</v>
      </c>
      <c r="AP116" s="754">
        <f t="shared" si="76"/>
        <v>91.840734578061642</v>
      </c>
      <c r="AR116" s="740">
        <f>'Recycling - Case 3'!G126</f>
        <v>837.96961272907708</v>
      </c>
      <c r="AS116" s="736">
        <v>1</v>
      </c>
      <c r="AT116" s="736">
        <f t="shared" si="77"/>
        <v>0.05</v>
      </c>
      <c r="AU116" s="734">
        <f t="shared" si="78"/>
        <v>20.949240318226927</v>
      </c>
      <c r="AV116" s="734">
        <f t="shared" si="79"/>
        <v>20.949240318226927</v>
      </c>
      <c r="AW116" s="737">
        <f t="shared" si="80"/>
        <v>0</v>
      </c>
      <c r="AX116" s="734">
        <f t="shared" si="91"/>
        <v>295.99197581059934</v>
      </c>
      <c r="AY116" s="734">
        <f t="shared" si="49"/>
        <v>17.007692915237115</v>
      </c>
      <c r="AZ116" s="808">
        <f t="shared" si="47"/>
        <v>11.33846194349141</v>
      </c>
      <c r="BB116" s="913">
        <f t="shared" si="81"/>
        <v>193.73524060149632</v>
      </c>
      <c r="BC116" s="914">
        <f t="shared" si="82"/>
        <v>91.840734578061642</v>
      </c>
      <c r="BD116" s="933">
        <f t="shared" si="90"/>
        <v>11.33846194349141</v>
      </c>
      <c r="BE116" s="914">
        <f t="shared" si="54"/>
        <v>296.91443712304942</v>
      </c>
      <c r="BF116" s="145">
        <v>0</v>
      </c>
      <c r="BG116" s="927">
        <f t="shared" si="83"/>
        <v>296.91443712304942</v>
      </c>
      <c r="BI116" s="913">
        <f t="shared" si="84"/>
        <v>193.73524060149632</v>
      </c>
      <c r="BJ116" s="914">
        <f t="shared" si="85"/>
        <v>91.840734578061642</v>
      </c>
      <c r="BK116" s="933">
        <f t="shared" si="86"/>
        <v>11.33846194349141</v>
      </c>
      <c r="BL116" s="914">
        <f t="shared" si="55"/>
        <v>296.91443712304942</v>
      </c>
      <c r="BM116" s="145">
        <v>0</v>
      </c>
      <c r="BN116" s="927">
        <f t="shared" si="87"/>
        <v>296.91443712304942</v>
      </c>
    </row>
    <row r="117" spans="1:66">
      <c r="A117" s="805">
        <f>'Input data'!A147</f>
        <v>2047</v>
      </c>
      <c r="B117" s="728">
        <f>'Input data'!B147</f>
        <v>74.373096484110363</v>
      </c>
      <c r="C117" s="728">
        <f>'Recycling - Case 3'!AK127/B117</f>
        <v>267.67113612541198</v>
      </c>
      <c r="D117" s="729">
        <f>'Recycling - Case 3'!AM127</f>
        <v>0.11195794547794445</v>
      </c>
      <c r="E117" s="729">
        <f>'Recycling - Case 3'!BE127</f>
        <v>0.22038786396742607</v>
      </c>
      <c r="F117" s="729">
        <f>'Recycling - Case 3'!BF127</f>
        <v>0.27951143449721488</v>
      </c>
      <c r="G117" s="729">
        <f>'Recycling - Case 3'!BG127</f>
        <v>5.3253158414827681E-2</v>
      </c>
      <c r="H117" s="729">
        <f>'Recycling - Case 3'!BH127</f>
        <v>0</v>
      </c>
      <c r="I117" s="729">
        <f>'Recycling - Case 3'!BI127</f>
        <v>0</v>
      </c>
      <c r="J117" s="729">
        <f>'Recycling - Case 3'!BJ127</f>
        <v>0</v>
      </c>
      <c r="K117" s="729">
        <f>'Recycling - Case 3'!BK127</f>
        <v>0.44684754312053121</v>
      </c>
      <c r="L117" s="730">
        <f t="shared" si="89"/>
        <v>0.99999999999999989</v>
      </c>
      <c r="N117" s="740">
        <f t="shared" si="56"/>
        <v>2228.8062963921584</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3'!AM167</f>
        <v>365.27451856528114</v>
      </c>
      <c r="Y117" s="751">
        <f>Parameters!S287</f>
        <v>0.71500000000000008</v>
      </c>
      <c r="Z117" s="751">
        <f t="shared" si="63"/>
        <v>0.4</v>
      </c>
      <c r="AA117" s="752">
        <f t="shared" si="64"/>
        <v>52.234256154835215</v>
      </c>
      <c r="AB117" s="752">
        <f t="shared" si="65"/>
        <v>52.234256154835215</v>
      </c>
      <c r="AC117" s="753">
        <f t="shared" si="66"/>
        <v>0</v>
      </c>
      <c r="AD117" s="752">
        <f t="shared" si="67"/>
        <v>2638.9921320866711</v>
      </c>
      <c r="AE117" s="752">
        <f t="shared" si="68"/>
        <v>132.62591235834037</v>
      </c>
      <c r="AF117" s="754">
        <f t="shared" si="69"/>
        <v>88.417274905560248</v>
      </c>
      <c r="AH117" s="750">
        <f>'Recycling - Case 3'!AM207</f>
        <v>365.27451856528114</v>
      </c>
      <c r="AI117" s="751">
        <f>Parameters!S287</f>
        <v>0.71500000000000008</v>
      </c>
      <c r="AJ117" s="751">
        <f t="shared" si="70"/>
        <v>0.4</v>
      </c>
      <c r="AK117" s="752">
        <f t="shared" si="71"/>
        <v>52.234256154835215</v>
      </c>
      <c r="AL117" s="752">
        <f t="shared" si="72"/>
        <v>52.234256154835215</v>
      </c>
      <c r="AM117" s="753">
        <f t="shared" si="73"/>
        <v>0</v>
      </c>
      <c r="AN117" s="752">
        <f t="shared" si="74"/>
        <v>2638.9921320866711</v>
      </c>
      <c r="AO117" s="752">
        <f t="shared" si="75"/>
        <v>132.62591235834037</v>
      </c>
      <c r="AP117" s="754">
        <f t="shared" si="76"/>
        <v>88.417274905560248</v>
      </c>
      <c r="AR117" s="740">
        <f>'Recycling - Case 3'!G127</f>
        <v>842.24731351072307</v>
      </c>
      <c r="AS117" s="736">
        <v>1</v>
      </c>
      <c r="AT117" s="736">
        <f t="shared" si="77"/>
        <v>0.05</v>
      </c>
      <c r="AU117" s="734">
        <f t="shared" si="78"/>
        <v>21.056182837768077</v>
      </c>
      <c r="AV117" s="734">
        <f t="shared" si="79"/>
        <v>21.056182837768077</v>
      </c>
      <c r="AW117" s="737">
        <f t="shared" si="80"/>
        <v>0</v>
      </c>
      <c r="AX117" s="734">
        <f t="shared" si="91"/>
        <v>299.81092788171736</v>
      </c>
      <c r="AY117" s="734">
        <f t="shared" si="49"/>
        <v>17.237230766650022</v>
      </c>
      <c r="AZ117" s="808">
        <f t="shared" si="47"/>
        <v>11.491487177766681</v>
      </c>
      <c r="BB117" s="913">
        <f t="shared" si="81"/>
        <v>188.27797530646615</v>
      </c>
      <c r="BC117" s="914">
        <f t="shared" si="82"/>
        <v>88.417274905560248</v>
      </c>
      <c r="BD117" s="933">
        <f t="shared" si="90"/>
        <v>11.491487177766681</v>
      </c>
      <c r="BE117" s="914">
        <f t="shared" si="54"/>
        <v>288.18673738979305</v>
      </c>
      <c r="BF117" s="145">
        <v>0</v>
      </c>
      <c r="BG117" s="927">
        <f t="shared" si="83"/>
        <v>288.18673738979305</v>
      </c>
      <c r="BI117" s="913">
        <f t="shared" si="84"/>
        <v>188.27797530646615</v>
      </c>
      <c r="BJ117" s="914">
        <f t="shared" si="85"/>
        <v>88.417274905560248</v>
      </c>
      <c r="BK117" s="933">
        <f t="shared" si="86"/>
        <v>11.491487177766681</v>
      </c>
      <c r="BL117" s="914">
        <f t="shared" si="55"/>
        <v>288.18673738979305</v>
      </c>
      <c r="BM117" s="145">
        <v>0</v>
      </c>
      <c r="BN117" s="927">
        <f t="shared" si="87"/>
        <v>288.18673738979305</v>
      </c>
    </row>
    <row r="118" spans="1:66">
      <c r="A118" s="805">
        <f>'Input data'!A148</f>
        <v>2048</v>
      </c>
      <c r="B118" s="728">
        <f>'Input data'!B148</f>
        <v>74.752759240528661</v>
      </c>
      <c r="C118" s="728">
        <f>'Recycling - Case 3'!AK128/B118</f>
        <v>267.00245560366284</v>
      </c>
      <c r="D118" s="729">
        <f>'Recycling - Case 3'!AM128</f>
        <v>0.11166828405608349</v>
      </c>
      <c r="E118" s="729">
        <f>'Recycling - Case 3'!BE128</f>
        <v>0.22073040504531644</v>
      </c>
      <c r="F118" s="729">
        <f>'Recycling - Case 3'!BF128</f>
        <v>0.27994586925388332</v>
      </c>
      <c r="G118" s="729">
        <f>'Recycling - Case 3'!BG128</f>
        <v>5.3170422243742146E-2</v>
      </c>
      <c r="H118" s="729">
        <f>'Recycling - Case 3'!BH128</f>
        <v>0</v>
      </c>
      <c r="I118" s="729">
        <f>'Recycling - Case 3'!BI128</f>
        <v>0</v>
      </c>
      <c r="J118" s="729">
        <f>'Recycling - Case 3'!BJ128</f>
        <v>0</v>
      </c>
      <c r="K118" s="729">
        <f>'Recycling - Case 3'!BK128</f>
        <v>0.44615330345705817</v>
      </c>
      <c r="L118" s="730">
        <f t="shared" si="89"/>
        <v>1</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3'!AM168</f>
        <v>503.58861723931761</v>
      </c>
      <c r="Y118" s="751">
        <f>Parameters!S288</f>
        <v>0.71500000000000008</v>
      </c>
      <c r="Z118" s="751">
        <f t="shared" si="63"/>
        <v>0.4</v>
      </c>
      <c r="AA118" s="752">
        <f t="shared" si="64"/>
        <v>72.013172265222437</v>
      </c>
      <c r="AB118" s="752">
        <f t="shared" si="65"/>
        <v>72.013172265222437</v>
      </c>
      <c r="AC118" s="753">
        <f t="shared" si="66"/>
        <v>0</v>
      </c>
      <c r="AD118" s="752">
        <f t="shared" si="67"/>
        <v>2582.3001393319387</v>
      </c>
      <c r="AE118" s="752">
        <f t="shared" si="68"/>
        <v>128.70516501995468</v>
      </c>
      <c r="AF118" s="754">
        <f t="shared" si="69"/>
        <v>85.803443346636456</v>
      </c>
      <c r="AH118" s="750">
        <f>'Recycling - Case 3'!AM208</f>
        <v>503.58861723931761</v>
      </c>
      <c r="AI118" s="751">
        <f>Parameters!S288</f>
        <v>0.71500000000000008</v>
      </c>
      <c r="AJ118" s="751">
        <f t="shared" si="70"/>
        <v>0.4</v>
      </c>
      <c r="AK118" s="752">
        <f t="shared" si="71"/>
        <v>72.013172265222437</v>
      </c>
      <c r="AL118" s="752">
        <f t="shared" si="72"/>
        <v>72.013172265222437</v>
      </c>
      <c r="AM118" s="753">
        <f t="shared" si="73"/>
        <v>0</v>
      </c>
      <c r="AN118" s="752">
        <f t="shared" si="74"/>
        <v>2582.3001393319387</v>
      </c>
      <c r="AO118" s="752">
        <f t="shared" si="75"/>
        <v>128.70516501995468</v>
      </c>
      <c r="AP118" s="754">
        <f t="shared" si="76"/>
        <v>85.803443346636456</v>
      </c>
      <c r="AR118" s="740">
        <f>'Recycling - Case 3'!G128</f>
        <v>846.5468512703444</v>
      </c>
      <c r="AS118" s="736">
        <v>1</v>
      </c>
      <c r="AT118" s="736">
        <f t="shared" si="77"/>
        <v>0.05</v>
      </c>
      <c r="AU118" s="734">
        <f t="shared" si="78"/>
        <v>21.16367128175861</v>
      </c>
      <c r="AV118" s="734">
        <f t="shared" si="79"/>
        <v>21.16367128175861</v>
      </c>
      <c r="AW118" s="737">
        <f t="shared" si="80"/>
        <v>0</v>
      </c>
      <c r="AX118" s="734">
        <f t="shared" si="91"/>
        <v>303.51496994174499</v>
      </c>
      <c r="AY118" s="734">
        <f t="shared" si="49"/>
        <v>17.459629221730982</v>
      </c>
      <c r="AZ118" s="808">
        <f t="shared" si="47"/>
        <v>11.639752814487322</v>
      </c>
      <c r="BB118" s="913">
        <f t="shared" si="81"/>
        <v>183.09070620088937</v>
      </c>
      <c r="BC118" s="914">
        <f t="shared" si="82"/>
        <v>85.803443346636456</v>
      </c>
      <c r="BD118" s="933">
        <f t="shared" si="90"/>
        <v>11.639752814487322</v>
      </c>
      <c r="BE118" s="914">
        <f t="shared" si="54"/>
        <v>280.53390236201318</v>
      </c>
      <c r="BF118" s="145">
        <v>0</v>
      </c>
      <c r="BG118" s="927">
        <f t="shared" si="83"/>
        <v>280.53390236201318</v>
      </c>
      <c r="BI118" s="913">
        <f t="shared" si="84"/>
        <v>183.09070620088937</v>
      </c>
      <c r="BJ118" s="914">
        <f t="shared" si="85"/>
        <v>85.803443346636456</v>
      </c>
      <c r="BK118" s="933">
        <f t="shared" si="86"/>
        <v>11.639752814487322</v>
      </c>
      <c r="BL118" s="914">
        <f t="shared" si="55"/>
        <v>280.53390236201318</v>
      </c>
      <c r="BM118" s="145">
        <v>0</v>
      </c>
      <c r="BN118" s="927">
        <f t="shared" si="87"/>
        <v>280.53390236201318</v>
      </c>
    </row>
    <row r="119" spans="1:66">
      <c r="A119" s="805">
        <f>'Input data'!A149</f>
        <v>2049</v>
      </c>
      <c r="B119" s="728">
        <f>'Input data'!B149</f>
        <v>75.134360114565098</v>
      </c>
      <c r="C119" s="728">
        <f>'Recycling - Case 3'!AK129/B119</f>
        <v>266.33740786604682</v>
      </c>
      <c r="D119" s="729">
        <f>'Recycling - Case 3'!AM129</f>
        <v>0.11137855143335285</v>
      </c>
      <c r="E119" s="729">
        <f>'Recycling - Case 3'!BE129</f>
        <v>0.22107015174195349</v>
      </c>
      <c r="F119" s="729">
        <f>'Recycling - Case 3'!BF129</f>
        <v>0.28037675997914002</v>
      </c>
      <c r="G119" s="729">
        <f>'Recycling - Case 3'!BG129</f>
        <v>5.3088361017708037E-2</v>
      </c>
      <c r="H119" s="729">
        <f>'Recycling - Case 3'!BH129</f>
        <v>0</v>
      </c>
      <c r="I119" s="729">
        <f>'Recycling - Case 3'!BI129</f>
        <v>0</v>
      </c>
      <c r="J119" s="729">
        <f>'Recycling - Case 3'!BJ129</f>
        <v>0</v>
      </c>
      <c r="K119" s="729">
        <f>'Recycling - Case 3'!BK129</f>
        <v>0.44546472726119851</v>
      </c>
      <c r="L119" s="730">
        <f t="shared" si="89"/>
        <v>1.0000000000000002</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3'!AM169</f>
        <v>642.12639945365675</v>
      </c>
      <c r="Y119" s="751">
        <f>Parameters!S289</f>
        <v>0.71500000000000008</v>
      </c>
      <c r="Z119" s="751">
        <f t="shared" si="63"/>
        <v>0.4</v>
      </c>
      <c r="AA119" s="752">
        <f t="shared" si="64"/>
        <v>91.824075121872937</v>
      </c>
      <c r="AB119" s="752">
        <f t="shared" si="65"/>
        <v>91.824075121872937</v>
      </c>
      <c r="AC119" s="753">
        <f t="shared" si="66"/>
        <v>0</v>
      </c>
      <c r="AD119" s="752">
        <f t="shared" si="67"/>
        <v>2548.1839505467065</v>
      </c>
      <c r="AE119" s="752">
        <f t="shared" si="68"/>
        <v>125.94026390710503</v>
      </c>
      <c r="AF119" s="754">
        <f t="shared" si="69"/>
        <v>83.960175938070023</v>
      </c>
      <c r="AH119" s="750">
        <f>'Recycling - Case 3'!AM209</f>
        <v>642.12639945365675</v>
      </c>
      <c r="AI119" s="751">
        <f>Parameters!S289</f>
        <v>0.71500000000000008</v>
      </c>
      <c r="AJ119" s="751">
        <f t="shared" si="70"/>
        <v>0.4</v>
      </c>
      <c r="AK119" s="752">
        <f t="shared" si="71"/>
        <v>91.824075121872937</v>
      </c>
      <c r="AL119" s="752">
        <f t="shared" si="72"/>
        <v>91.824075121872937</v>
      </c>
      <c r="AM119" s="753">
        <f t="shared" si="73"/>
        <v>0</v>
      </c>
      <c r="AN119" s="752">
        <f t="shared" si="74"/>
        <v>2548.1839505467065</v>
      </c>
      <c r="AO119" s="752">
        <f t="shared" si="75"/>
        <v>125.94026390710503</v>
      </c>
      <c r="AP119" s="754">
        <f t="shared" si="76"/>
        <v>83.960175938070023</v>
      </c>
      <c r="AR119" s="740">
        <f>'Recycling - Case 3'!G129</f>
        <v>850.86833748221932</v>
      </c>
      <c r="AS119" s="736">
        <v>1</v>
      </c>
      <c r="AT119" s="736">
        <f t="shared" si="77"/>
        <v>0.05</v>
      </c>
      <c r="AU119" s="734">
        <f t="shared" si="78"/>
        <v>21.271708437055484</v>
      </c>
      <c r="AV119" s="734">
        <f t="shared" si="79"/>
        <v>21.271708437055484</v>
      </c>
      <c r="AW119" s="737">
        <f t="shared" si="80"/>
        <v>0</v>
      </c>
      <c r="AX119" s="734">
        <f t="shared" si="91"/>
        <v>307.11134254008027</v>
      </c>
      <c r="AY119" s="734">
        <f t="shared" si="49"/>
        <v>17.675335838720251</v>
      </c>
      <c r="AZ119" s="808">
        <f t="shared" si="47"/>
        <v>11.783557225813501</v>
      </c>
      <c r="BB119" s="913">
        <f t="shared" si="81"/>
        <v>178.16023399239415</v>
      </c>
      <c r="BC119" s="914">
        <f t="shared" si="82"/>
        <v>83.960175938070023</v>
      </c>
      <c r="BD119" s="933">
        <f t="shared" si="90"/>
        <v>11.783557225813501</v>
      </c>
      <c r="BE119" s="914">
        <f t="shared" si="54"/>
        <v>273.9039671562777</v>
      </c>
      <c r="BF119" s="145">
        <v>0</v>
      </c>
      <c r="BG119" s="927">
        <f t="shared" si="83"/>
        <v>273.9039671562777</v>
      </c>
      <c r="BI119" s="913">
        <f t="shared" si="84"/>
        <v>178.16023399239415</v>
      </c>
      <c r="BJ119" s="914">
        <f t="shared" si="85"/>
        <v>83.960175938070023</v>
      </c>
      <c r="BK119" s="933">
        <f t="shared" si="86"/>
        <v>11.783557225813501</v>
      </c>
      <c r="BL119" s="914">
        <f t="shared" si="55"/>
        <v>273.9039671562777</v>
      </c>
      <c r="BM119" s="145">
        <v>0</v>
      </c>
      <c r="BN119" s="927">
        <f t="shared" si="87"/>
        <v>273.9039671562777</v>
      </c>
    </row>
    <row r="120" spans="1:66" ht="15" thickBot="1">
      <c r="A120" s="806">
        <f>'Input data'!A150</f>
        <v>2050</v>
      </c>
      <c r="B120" s="731">
        <f>'Input data'!B150</f>
        <v>75.517908999999989</v>
      </c>
      <c r="C120" s="731">
        <f>'Recycling - Case 3'!AK130/B120</f>
        <v>265.67597098179937</v>
      </c>
      <c r="D120" s="732">
        <f>'Recycling - Case 3'!AM130</f>
        <v>0.11108875335226075</v>
      </c>
      <c r="E120" s="732">
        <f>'Recycling - Case 3'!BE130</f>
        <v>0.22140713376170404</v>
      </c>
      <c r="F120" s="732">
        <f>'Recycling - Case 3'!BF130</f>
        <v>0.28080414434615841</v>
      </c>
      <c r="G120" s="732">
        <f>'Recycling - Case 3'!BG130</f>
        <v>5.3006967562036801E-2</v>
      </c>
      <c r="H120" s="732">
        <f>'Recycling - Case 3'!BH130</f>
        <v>0</v>
      </c>
      <c r="I120" s="732">
        <f>'Recycling - Case 3'!BI130</f>
        <v>0</v>
      </c>
      <c r="J120" s="732">
        <f>'Recycling - Case 3'!BJ130</f>
        <v>0</v>
      </c>
      <c r="K120" s="732">
        <f>'Recycling - Case 3'!BK130</f>
        <v>0.44478175433010064</v>
      </c>
      <c r="L120" s="733">
        <f t="shared" si="89"/>
        <v>1</v>
      </c>
      <c r="N120" s="742">
        <f t="shared" si="56"/>
        <v>2228.8062963921584</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5">
        <f>'Recycling - Case 3'!AM170</f>
        <v>780.71353921223874</v>
      </c>
      <c r="Y120" s="756">
        <f>Parameters!S290</f>
        <v>0.71500000000000008</v>
      </c>
      <c r="Z120" s="756">
        <f t="shared" si="63"/>
        <v>0.4</v>
      </c>
      <c r="AA120" s="757">
        <f>X120*Z120*Y120*$D$4</f>
        <v>111.64203610735015</v>
      </c>
      <c r="AB120" s="757">
        <f t="shared" si="65"/>
        <v>111.64203610735015</v>
      </c>
      <c r="AC120" s="758">
        <f t="shared" si="66"/>
        <v>0</v>
      </c>
      <c r="AD120" s="757">
        <f t="shared" si="67"/>
        <v>2535.5495889078497</v>
      </c>
      <c r="AE120" s="757">
        <f t="shared" si="68"/>
        <v>124.27639774620697</v>
      </c>
      <c r="AF120" s="759">
        <f t="shared" si="69"/>
        <v>82.85093183080464</v>
      </c>
      <c r="AH120" s="755">
        <f>'Recycling - Case 3'!AM210</f>
        <v>780.71353921223874</v>
      </c>
      <c r="AI120" s="756">
        <f>Parameters!S290</f>
        <v>0.71500000000000008</v>
      </c>
      <c r="AJ120" s="756">
        <f t="shared" si="70"/>
        <v>0.4</v>
      </c>
      <c r="AK120" s="757">
        <f t="shared" si="71"/>
        <v>111.64203610735015</v>
      </c>
      <c r="AL120" s="757">
        <f t="shared" si="72"/>
        <v>111.64203610735015</v>
      </c>
      <c r="AM120" s="758">
        <f t="shared" si="73"/>
        <v>0</v>
      </c>
      <c r="AN120" s="757">
        <f t="shared" si="74"/>
        <v>2535.5495889078497</v>
      </c>
      <c r="AO120" s="757">
        <f t="shared" si="75"/>
        <v>124.27639774620697</v>
      </c>
      <c r="AP120" s="759">
        <f t="shared" si="76"/>
        <v>82.85093183080464</v>
      </c>
      <c r="AR120" s="742">
        <f>'Recycling - Case 3'!G130</f>
        <v>855.21188418968472</v>
      </c>
      <c r="AS120" s="744">
        <f>Parameters!R221</f>
        <v>1</v>
      </c>
      <c r="AT120" s="744">
        <f t="shared" si="77"/>
        <v>0.05</v>
      </c>
      <c r="AU120" s="745">
        <f t="shared" si="78"/>
        <v>21.38029710474212</v>
      </c>
      <c r="AV120" s="745">
        <f t="shared" si="79"/>
        <v>21.38029710474212</v>
      </c>
      <c r="AW120" s="746">
        <f t="shared" si="80"/>
        <v>0</v>
      </c>
      <c r="AX120" s="745">
        <f t="shared" si="91"/>
        <v>310.60686737043324</v>
      </c>
      <c r="AY120" s="745">
        <f t="shared" si="49"/>
        <v>17.884772274389132</v>
      </c>
      <c r="AZ120" s="809">
        <f t="shared" si="47"/>
        <v>11.923181516259421</v>
      </c>
      <c r="BB120" s="915">
        <f t="shared" si="81"/>
        <v>173.47400346080323</v>
      </c>
      <c r="BC120" s="916">
        <f t="shared" si="82"/>
        <v>82.85093183080464</v>
      </c>
      <c r="BD120" s="934">
        <f t="shared" si="90"/>
        <v>11.923181516259421</v>
      </c>
      <c r="BE120" s="916">
        <f t="shared" si="54"/>
        <v>268.24811680786729</v>
      </c>
      <c r="BF120" s="917">
        <v>0</v>
      </c>
      <c r="BG120" s="928">
        <f t="shared" si="83"/>
        <v>268.24811680786729</v>
      </c>
      <c r="BI120" s="915">
        <f t="shared" si="84"/>
        <v>173.47400346080323</v>
      </c>
      <c r="BJ120" s="916">
        <f t="shared" si="85"/>
        <v>82.85093183080464</v>
      </c>
      <c r="BK120" s="934">
        <f t="shared" si="86"/>
        <v>11.923181516259421</v>
      </c>
      <c r="BL120" s="916">
        <f t="shared" si="55"/>
        <v>268.24811680786729</v>
      </c>
      <c r="BM120" s="917">
        <v>0</v>
      </c>
      <c r="BN120" s="928">
        <f t="shared" si="87"/>
        <v>268.24811680786729</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 ref="A16:A18"/>
    <mergeCell ref="B16:B17"/>
    <mergeCell ref="C16:C17"/>
    <mergeCell ref="D16:D17"/>
    <mergeCell ref="E16:E17"/>
    <mergeCell ref="BB15:BG15"/>
    <mergeCell ref="BF16:BF17"/>
    <mergeCell ref="BG16:BG17"/>
    <mergeCell ref="BI15:BN15"/>
    <mergeCell ref="BI16:BI17"/>
    <mergeCell ref="BJ16:BJ17"/>
    <mergeCell ref="BK16:BK17"/>
    <mergeCell ref="BL16:BL17"/>
    <mergeCell ref="BM16:BM17"/>
    <mergeCell ref="BN16:BN17"/>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4.4"/>
  <cols>
    <col min="1" max="1" width="35.33203125" bestFit="1" customWidth="1"/>
    <col min="2" max="2" width="35.33203125" customWidth="1"/>
    <col min="3" max="3" width="17.6640625" customWidth="1"/>
    <col min="4" max="4" width="12.6640625" customWidth="1"/>
    <col min="5" max="5" width="18.44140625" bestFit="1" customWidth="1"/>
    <col min="6" max="7" width="25.33203125" customWidth="1"/>
    <col min="8" max="8" width="13.33203125" customWidth="1"/>
    <col min="9" max="9" width="18.44140625" bestFit="1" customWidth="1"/>
    <col min="10" max="10" width="15.6640625" customWidth="1"/>
    <col min="11" max="11" width="22.33203125" customWidth="1"/>
    <col min="12" max="12" width="19.5546875" customWidth="1"/>
    <col min="13" max="13" width="17.6640625" customWidth="1"/>
    <col min="14" max="14" width="17.88671875" customWidth="1"/>
    <col min="15" max="15" width="13.44140625" customWidth="1"/>
    <col min="16" max="16" width="11.6640625" customWidth="1"/>
    <col min="17" max="17" width="13.6640625" customWidth="1"/>
    <col min="18" max="18" width="15.88671875" customWidth="1"/>
    <col min="19" max="19" width="17" customWidth="1"/>
    <col min="20" max="20" width="17.5546875" customWidth="1"/>
    <col min="21" max="21" width="16.6640625" customWidth="1"/>
    <col min="22" max="22" width="17.6640625" customWidth="1"/>
    <col min="23" max="23" width="14.109375" customWidth="1"/>
  </cols>
  <sheetData>
    <row r="1" spans="1:23" ht="21">
      <c r="A1" s="1025" t="s">
        <v>729</v>
      </c>
      <c r="B1" s="1026"/>
      <c r="C1" s="101"/>
      <c r="D1" s="101"/>
      <c r="E1" s="101"/>
      <c r="F1" s="102"/>
    </row>
    <row r="2" spans="1:23">
      <c r="A2" s="89"/>
      <c r="F2" s="114"/>
    </row>
    <row r="3" spans="1:23" ht="28.8">
      <c r="A3" s="138" t="s">
        <v>175</v>
      </c>
      <c r="C3" s="173" t="s">
        <v>177</v>
      </c>
      <c r="D3" s="173" t="s">
        <v>178</v>
      </c>
      <c r="E3" s="606"/>
      <c r="F3" s="953" t="s">
        <v>185</v>
      </c>
    </row>
    <row r="4" spans="1:23">
      <c r="A4" s="89" t="s">
        <v>176</v>
      </c>
      <c r="B4" t="s">
        <v>179</v>
      </c>
      <c r="C4">
        <v>10</v>
      </c>
      <c r="D4">
        <v>4</v>
      </c>
      <c r="F4" s="1691" t="s">
        <v>184</v>
      </c>
    </row>
    <row r="5" spans="1:23">
      <c r="A5" s="89" t="s">
        <v>180</v>
      </c>
      <c r="B5" t="s">
        <v>179</v>
      </c>
      <c r="C5">
        <v>2</v>
      </c>
      <c r="D5">
        <v>0.8</v>
      </c>
      <c r="F5" s="1691"/>
    </row>
    <row r="6" spans="1:23">
      <c r="A6" s="138" t="s">
        <v>181</v>
      </c>
      <c r="F6" s="1691"/>
    </row>
    <row r="7" spans="1:23">
      <c r="A7" s="89" t="s">
        <v>176</v>
      </c>
      <c r="B7" t="s">
        <v>183</v>
      </c>
      <c r="C7">
        <v>0.6</v>
      </c>
      <c r="D7">
        <v>0.24</v>
      </c>
      <c r="F7" s="1691"/>
    </row>
    <row r="8" spans="1:23" ht="15" thickBot="1">
      <c r="A8" s="141" t="s">
        <v>180</v>
      </c>
      <c r="B8" s="142" t="s">
        <v>183</v>
      </c>
      <c r="C8" s="121" t="s">
        <v>182</v>
      </c>
      <c r="D8" s="121" t="s">
        <v>182</v>
      </c>
      <c r="E8" s="142"/>
      <c r="F8" s="1692"/>
    </row>
    <row r="9" spans="1:23" ht="15" thickBot="1">
      <c r="C9" s="112"/>
      <c r="D9" s="112"/>
      <c r="F9" s="606"/>
    </row>
    <row r="10" spans="1:23" ht="15" thickBot="1">
      <c r="B10" s="1676" t="s">
        <v>510</v>
      </c>
      <c r="C10" s="1677"/>
      <c r="D10" s="1677"/>
      <c r="E10" s="1677"/>
      <c r="F10" s="1677"/>
      <c r="G10" s="1677"/>
      <c r="H10" s="1677"/>
      <c r="I10" s="1677"/>
      <c r="J10" s="1678"/>
      <c r="K10" s="1673" t="s">
        <v>509</v>
      </c>
      <c r="L10" s="1674"/>
      <c r="M10" s="1674"/>
      <c r="N10" s="1674"/>
      <c r="O10" s="1674"/>
      <c r="P10" s="1674"/>
      <c r="Q10" s="1674"/>
      <c r="R10" s="1674"/>
      <c r="S10" s="1675"/>
      <c r="T10" s="1679" t="s">
        <v>511</v>
      </c>
      <c r="U10" s="1680"/>
      <c r="V10" s="1680"/>
      <c r="W10" s="1681"/>
    </row>
    <row r="11" spans="1:23" ht="28.95" customHeight="1">
      <c r="A11" s="1689" t="s">
        <v>217</v>
      </c>
      <c r="B11" s="689" t="s">
        <v>619</v>
      </c>
      <c r="C11" s="1687" t="s">
        <v>495</v>
      </c>
      <c r="D11" s="1688"/>
      <c r="E11" s="1687" t="s">
        <v>289</v>
      </c>
      <c r="F11" s="1688"/>
      <c r="G11" s="1687" t="s">
        <v>290</v>
      </c>
      <c r="H11" s="1695"/>
      <c r="I11" s="1693" t="s">
        <v>287</v>
      </c>
      <c r="J11" s="1694"/>
      <c r="K11" s="420" t="s">
        <v>507</v>
      </c>
      <c r="L11" s="1682" t="s">
        <v>495</v>
      </c>
      <c r="M11" s="1683"/>
      <c r="N11" s="1682" t="s">
        <v>289</v>
      </c>
      <c r="O11" s="1683"/>
      <c r="P11" s="1682" t="s">
        <v>290</v>
      </c>
      <c r="Q11" s="1684"/>
      <c r="R11" s="1685" t="s">
        <v>287</v>
      </c>
      <c r="S11" s="1686"/>
      <c r="T11" s="1671" t="s">
        <v>508</v>
      </c>
      <c r="U11" s="1672"/>
      <c r="V11" s="1671" t="s">
        <v>776</v>
      </c>
      <c r="W11" s="1672"/>
    </row>
    <row r="12" spans="1:23" ht="29.4" customHeight="1" thickBot="1">
      <c r="A12" s="1690"/>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2562.5510023172546</v>
      </c>
      <c r="L83" s="100">
        <v>0.1</v>
      </c>
      <c r="M83" s="518">
        <f t="shared" ref="M83:M114" si="14">1-L83</f>
        <v>0.9</v>
      </c>
      <c r="N83" s="12">
        <f t="shared" ref="N83:O98" si="15">N81</f>
        <v>0</v>
      </c>
      <c r="O83" s="12">
        <f t="shared" si="15"/>
        <v>0</v>
      </c>
      <c r="P83" s="152">
        <f t="shared" ref="P83:P112" si="16">L83*$D$5*K83/1000-N83</f>
        <v>0.20500408018538041</v>
      </c>
      <c r="Q83" s="465">
        <f t="shared" si="5"/>
        <v>9.2251836083421175</v>
      </c>
      <c r="R83" s="12"/>
      <c r="S83" s="1044">
        <f t="shared" si="6"/>
        <v>0.55351101650052703</v>
      </c>
      <c r="T83" s="1033">
        <f t="shared" si="9"/>
        <v>0.42961291719026418</v>
      </c>
      <c r="U83" s="1034">
        <f t="shared" si="9"/>
        <v>24.145627780809392</v>
      </c>
      <c r="V83" s="1034">
        <f t="shared" si="9"/>
        <v>0</v>
      </c>
      <c r="W83" s="1035">
        <f t="shared" si="9"/>
        <v>1.4487376668485634</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2507.7293795159117</v>
      </c>
      <c r="L84" s="100">
        <v>0.1</v>
      </c>
      <c r="M84" s="518">
        <f t="shared" si="14"/>
        <v>0.9</v>
      </c>
      <c r="N84" s="12">
        <f t="shared" si="15"/>
        <v>0</v>
      </c>
      <c r="O84" s="12">
        <f t="shared" si="15"/>
        <v>0</v>
      </c>
      <c r="P84" s="152">
        <f t="shared" si="16"/>
        <v>0.20061835036127298</v>
      </c>
      <c r="Q84" s="465">
        <f t="shared" si="5"/>
        <v>9.0278257662572816</v>
      </c>
      <c r="R84" s="12"/>
      <c r="S84" s="1044">
        <f t="shared" si="6"/>
        <v>0.54166954597543693</v>
      </c>
      <c r="T84" s="1033">
        <f t="shared" si="9"/>
        <v>0.4767284710910733</v>
      </c>
      <c r="U84" s="1034">
        <f t="shared" si="9"/>
        <v>24.904157708220801</v>
      </c>
      <c r="V84" s="1034">
        <f t="shared" si="9"/>
        <v>0</v>
      </c>
      <c r="W84" s="1035">
        <f t="shared" si="9"/>
        <v>1.4942494624932481</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2652.7490365483027</v>
      </c>
      <c r="L85" s="100">
        <v>0.1</v>
      </c>
      <c r="M85" s="518">
        <f t="shared" si="14"/>
        <v>0.9</v>
      </c>
      <c r="N85" s="12">
        <f t="shared" si="15"/>
        <v>0</v>
      </c>
      <c r="O85" s="12">
        <f t="shared" si="15"/>
        <v>0</v>
      </c>
      <c r="P85" s="152">
        <f t="shared" si="16"/>
        <v>0.21221992292386427</v>
      </c>
      <c r="Q85" s="465">
        <f t="shared" si="5"/>
        <v>9.5498965315738893</v>
      </c>
      <c r="R85" s="12"/>
      <c r="S85" s="1044">
        <f t="shared" si="6"/>
        <v>0.57299379189443334</v>
      </c>
      <c r="T85" s="1033">
        <f t="shared" si="9"/>
        <v>0.54468490413106452</v>
      </c>
      <c r="U85" s="1034">
        <f t="shared" si="9"/>
        <v>26.357848359271241</v>
      </c>
      <c r="V85" s="1034">
        <f t="shared" si="9"/>
        <v>0</v>
      </c>
      <c r="W85" s="1035">
        <f t="shared" si="9"/>
        <v>1.5814709015562745</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2776.0085848679064</v>
      </c>
      <c r="L86" s="518">
        <f>'Recycling - Case 1'!C31</f>
        <v>0.1</v>
      </c>
      <c r="M86" s="518">
        <f t="shared" si="14"/>
        <v>0.9</v>
      </c>
      <c r="N86" s="12">
        <f t="shared" si="15"/>
        <v>0</v>
      </c>
      <c r="O86" s="12">
        <f t="shared" si="15"/>
        <v>0</v>
      </c>
      <c r="P86" s="152">
        <f t="shared" si="16"/>
        <v>0.22208068678943255</v>
      </c>
      <c r="Q86" s="465">
        <f t="shared" si="5"/>
        <v>9.9936309055244639</v>
      </c>
      <c r="R86" s="12"/>
      <c r="S86" s="1044">
        <f t="shared" si="6"/>
        <v>0.59961785433146786</v>
      </c>
      <c r="T86" s="1033">
        <f t="shared" si="9"/>
        <v>0.61575410522651619</v>
      </c>
      <c r="U86" s="1034">
        <f t="shared" si="9"/>
        <v>27.708934735193225</v>
      </c>
      <c r="V86" s="1034">
        <f t="shared" si="9"/>
        <v>0</v>
      </c>
      <c r="W86" s="1035">
        <f t="shared" si="9"/>
        <v>1.6625360841115935</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2893.6918745285916</v>
      </c>
      <c r="L87" s="518">
        <f>L86</f>
        <v>0.1</v>
      </c>
      <c r="M87" s="518">
        <f t="shared" si="14"/>
        <v>0.9</v>
      </c>
      <c r="N87" s="12">
        <f t="shared" si="15"/>
        <v>0</v>
      </c>
      <c r="O87" s="12">
        <f t="shared" si="15"/>
        <v>0</v>
      </c>
      <c r="P87" s="152">
        <f t="shared" si="16"/>
        <v>0.23149534996228738</v>
      </c>
      <c r="Q87" s="465">
        <f t="shared" si="5"/>
        <v>10.41729074830293</v>
      </c>
      <c r="R87" s="12"/>
      <c r="S87" s="1044">
        <f t="shared" si="6"/>
        <v>0.6250374448981757</v>
      </c>
      <c r="T87" s="1033">
        <f t="shared" si="9"/>
        <v>0.64943665216178759</v>
      </c>
      <c r="U87" s="1034">
        <f t="shared" si="9"/>
        <v>29.224649347280433</v>
      </c>
      <c r="V87" s="1034">
        <f t="shared" si="9"/>
        <v>0</v>
      </c>
      <c r="W87" s="1035">
        <f t="shared" si="9"/>
        <v>1.753478960836826</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3016.266474169538</v>
      </c>
      <c r="L88" s="518">
        <f t="shared" ref="L88:L114" si="19">L87</f>
        <v>0.1</v>
      </c>
      <c r="M88" s="518">
        <f t="shared" si="14"/>
        <v>0.9</v>
      </c>
      <c r="N88" s="12">
        <f t="shared" si="15"/>
        <v>0</v>
      </c>
      <c r="O88" s="12">
        <f t="shared" si="15"/>
        <v>0</v>
      </c>
      <c r="P88" s="152">
        <f t="shared" si="16"/>
        <v>0.2413013179335631</v>
      </c>
      <c r="Q88" s="465">
        <f t="shared" si="5"/>
        <v>10.858559307010337</v>
      </c>
      <c r="R88" s="12"/>
      <c r="S88" s="1044">
        <f t="shared" si="6"/>
        <v>0.65151355842062031</v>
      </c>
      <c r="T88" s="1033">
        <f t="shared" si="9"/>
        <v>0.68351050389547985</v>
      </c>
      <c r="U88" s="1034">
        <f t="shared" si="9"/>
        <v>30.757972675296585</v>
      </c>
      <c r="V88" s="1034">
        <f t="shared" si="9"/>
        <v>0</v>
      </c>
      <c r="W88" s="1035">
        <f t="shared" si="9"/>
        <v>1.8454783605177951</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3145.1948878286516</v>
      </c>
      <c r="L89" s="518">
        <f t="shared" si="19"/>
        <v>0.1</v>
      </c>
      <c r="M89" s="518">
        <f t="shared" si="14"/>
        <v>0.9</v>
      </c>
      <c r="N89" s="12">
        <f t="shared" si="15"/>
        <v>0</v>
      </c>
      <c r="O89" s="12">
        <f t="shared" si="15"/>
        <v>0</v>
      </c>
      <c r="P89" s="152">
        <f t="shared" si="16"/>
        <v>0.25161559102629216</v>
      </c>
      <c r="Q89" s="465">
        <f t="shared" si="5"/>
        <v>11.322701596183146</v>
      </c>
      <c r="R89" s="12"/>
      <c r="S89" s="1044">
        <f t="shared" si="6"/>
        <v>0.67936209577098872</v>
      </c>
      <c r="T89" s="1033">
        <f t="shared" si="9"/>
        <v>0.7180926607506255</v>
      </c>
      <c r="U89" s="1034">
        <f t="shared" si="9"/>
        <v>32.314169733778144</v>
      </c>
      <c r="V89" s="1034">
        <f t="shared" si="9"/>
        <v>0</v>
      </c>
      <c r="W89" s="1035">
        <f t="shared" si="9"/>
        <v>1.9388501840266885</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3276.9726896886114</v>
      </c>
      <c r="L90" s="518">
        <f t="shared" si="19"/>
        <v>0.1</v>
      </c>
      <c r="M90" s="518">
        <f t="shared" si="14"/>
        <v>0.9</v>
      </c>
      <c r="N90" s="12">
        <f t="shared" si="15"/>
        <v>0</v>
      </c>
      <c r="O90" s="12">
        <f t="shared" si="15"/>
        <v>0</v>
      </c>
      <c r="P90" s="152">
        <f t="shared" si="16"/>
        <v>0.26215781517508896</v>
      </c>
      <c r="Q90" s="465">
        <f t="shared" si="5"/>
        <v>11.797101682879001</v>
      </c>
      <c r="R90" s="12"/>
      <c r="S90" s="1044">
        <f t="shared" si="6"/>
        <v>0.70782610097274001</v>
      </c>
      <c r="T90" s="1033">
        <f t="shared" si="9"/>
        <v>0.75290276866183881</v>
      </c>
      <c r="U90" s="1034">
        <f t="shared" si="9"/>
        <v>33.880624589782741</v>
      </c>
      <c r="V90" s="1034">
        <f t="shared" si="9"/>
        <v>0</v>
      </c>
      <c r="W90" s="1035">
        <f t="shared" si="9"/>
        <v>2.0328374753869642</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3413.4690396132614</v>
      </c>
      <c r="L91" s="518">
        <f t="shared" si="19"/>
        <v>0.1</v>
      </c>
      <c r="M91" s="518">
        <f t="shared" si="14"/>
        <v>0.9</v>
      </c>
      <c r="N91" s="12">
        <f t="shared" si="15"/>
        <v>0</v>
      </c>
      <c r="O91" s="12">
        <f t="shared" si="15"/>
        <v>0</v>
      </c>
      <c r="P91" s="152">
        <f t="shared" si="16"/>
        <v>0.27307752316906098</v>
      </c>
      <c r="Q91" s="465">
        <f t="shared" si="5"/>
        <v>12.288488542607741</v>
      </c>
      <c r="R91" s="12"/>
      <c r="S91" s="1044">
        <f t="shared" si="6"/>
        <v>0.73730931255646437</v>
      </c>
      <c r="T91" s="1033">
        <f t="shared" si="9"/>
        <v>0.78809036041822733</v>
      </c>
      <c r="U91" s="1034">
        <f t="shared" si="9"/>
        <v>35.464066218820221</v>
      </c>
      <c r="V91" s="1034">
        <f t="shared" si="9"/>
        <v>0</v>
      </c>
      <c r="W91" s="1035">
        <f t="shared" si="9"/>
        <v>2.1278439731292136</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3474.2495868371143</v>
      </c>
      <c r="L92" s="518">
        <f t="shared" si="19"/>
        <v>0.1</v>
      </c>
      <c r="M92" s="518">
        <f t="shared" si="14"/>
        <v>0.9</v>
      </c>
      <c r="N92" s="12">
        <f t="shared" si="15"/>
        <v>0</v>
      </c>
      <c r="O92" s="12">
        <f t="shared" si="15"/>
        <v>0</v>
      </c>
      <c r="P92" s="152">
        <f t="shared" si="16"/>
        <v>0.27793996694696921</v>
      </c>
      <c r="Q92" s="465">
        <f t="shared" si="5"/>
        <v>12.507298512613612</v>
      </c>
      <c r="R92" s="12"/>
      <c r="S92" s="1044">
        <f t="shared" si="6"/>
        <v>0.75043791075681665</v>
      </c>
      <c r="T92" s="1033">
        <f t="shared" si="9"/>
        <v>0.79295280419613556</v>
      </c>
      <c r="U92" s="1034">
        <f t="shared" si="9"/>
        <v>35.6828761888261</v>
      </c>
      <c r="V92" s="1034">
        <f t="shared" si="9"/>
        <v>0</v>
      </c>
      <c r="W92" s="1035">
        <f t="shared" si="9"/>
        <v>2.1409725713295655</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3539.5837004803343</v>
      </c>
      <c r="L93" s="518">
        <f t="shared" si="19"/>
        <v>0.1</v>
      </c>
      <c r="M93" s="518">
        <f t="shared" si="14"/>
        <v>0.9</v>
      </c>
      <c r="N93" s="12">
        <f t="shared" si="15"/>
        <v>0</v>
      </c>
      <c r="O93" s="12">
        <f t="shared" si="15"/>
        <v>0</v>
      </c>
      <c r="P93" s="152">
        <f t="shared" si="16"/>
        <v>0.28316669603842676</v>
      </c>
      <c r="Q93" s="465">
        <f t="shared" si="5"/>
        <v>12.742501321729204</v>
      </c>
      <c r="R93" s="12"/>
      <c r="S93" s="1044">
        <f t="shared" si="6"/>
        <v>0.76455007930375218</v>
      </c>
      <c r="T93" s="1033">
        <f t="shared" si="9"/>
        <v>0.79817953328759317</v>
      </c>
      <c r="U93" s="1034">
        <f t="shared" si="9"/>
        <v>35.918078997941691</v>
      </c>
      <c r="V93" s="1034">
        <f t="shared" si="9"/>
        <v>0</v>
      </c>
      <c r="W93" s="1035">
        <f t="shared" si="9"/>
        <v>2.1550847398765014</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3604.9206439543955</v>
      </c>
      <c r="L94" s="518">
        <f t="shared" si="19"/>
        <v>0.1</v>
      </c>
      <c r="M94" s="518">
        <f t="shared" si="14"/>
        <v>0.9</v>
      </c>
      <c r="N94" s="12">
        <f t="shared" si="15"/>
        <v>0</v>
      </c>
      <c r="O94" s="12">
        <f t="shared" si="15"/>
        <v>0</v>
      </c>
      <c r="P94" s="152">
        <f t="shared" si="16"/>
        <v>0.28839365151635166</v>
      </c>
      <c r="Q94" s="465">
        <f t="shared" si="5"/>
        <v>12.977714318235822</v>
      </c>
      <c r="R94" s="12"/>
      <c r="S94" s="1044">
        <f t="shared" si="6"/>
        <v>0.77866285909414945</v>
      </c>
      <c r="T94" s="1033">
        <f t="shared" si="9"/>
        <v>0.80340648876551801</v>
      </c>
      <c r="U94" s="1034">
        <f t="shared" si="9"/>
        <v>36.15329199444831</v>
      </c>
      <c r="V94" s="1034">
        <f t="shared" si="9"/>
        <v>0</v>
      </c>
      <c r="W94" s="1035">
        <f t="shared" si="9"/>
        <v>2.1691975196668984</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3681.3674299410918</v>
      </c>
      <c r="L95" s="518">
        <f t="shared" si="19"/>
        <v>0.1</v>
      </c>
      <c r="M95" s="518">
        <f t="shared" si="14"/>
        <v>0.9</v>
      </c>
      <c r="N95" s="12">
        <f t="shared" si="15"/>
        <v>0</v>
      </c>
      <c r="O95" s="12">
        <f t="shared" si="15"/>
        <v>0</v>
      </c>
      <c r="P95" s="152">
        <f t="shared" si="16"/>
        <v>0.29450939439528739</v>
      </c>
      <c r="Q95" s="465">
        <f t="shared" si="5"/>
        <v>13.252922747787931</v>
      </c>
      <c r="R95" s="12"/>
      <c r="S95" s="1044">
        <f t="shared" si="6"/>
        <v>0.7951753648672758</v>
      </c>
      <c r="T95" s="1033">
        <f t="shared" si="9"/>
        <v>0.80952223164445369</v>
      </c>
      <c r="U95" s="1034">
        <f t="shared" si="9"/>
        <v>36.428500424000418</v>
      </c>
      <c r="V95" s="1034">
        <f t="shared" si="9"/>
        <v>0</v>
      </c>
      <c r="W95" s="1035">
        <f t="shared" si="9"/>
        <v>2.185710025440025</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3762.1138340559442</v>
      </c>
      <c r="L96" s="518">
        <f t="shared" si="19"/>
        <v>0.1</v>
      </c>
      <c r="M96" s="518">
        <f t="shared" si="14"/>
        <v>0.9</v>
      </c>
      <c r="N96" s="12">
        <f t="shared" si="15"/>
        <v>0</v>
      </c>
      <c r="O96" s="12">
        <f t="shared" si="15"/>
        <v>0</v>
      </c>
      <c r="P96" s="152">
        <f t="shared" si="16"/>
        <v>0.30096910672447558</v>
      </c>
      <c r="Q96" s="465">
        <f t="shared" si="5"/>
        <v>13.543609802601399</v>
      </c>
      <c r="R96" s="12"/>
      <c r="S96" s="1044">
        <f t="shared" si="6"/>
        <v>0.81261658815608395</v>
      </c>
      <c r="T96" s="1033">
        <f t="shared" si="9"/>
        <v>0.81598194397364199</v>
      </c>
      <c r="U96" s="1034">
        <f t="shared" si="9"/>
        <v>36.719187478813879</v>
      </c>
      <c r="V96" s="1034">
        <f t="shared" si="9"/>
        <v>0</v>
      </c>
      <c r="W96" s="1035">
        <f t="shared" si="9"/>
        <v>2.2031512487288332</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3846.8426928164727</v>
      </c>
      <c r="L97" s="518">
        <f t="shared" si="19"/>
        <v>0.1</v>
      </c>
      <c r="M97" s="518">
        <f t="shared" si="14"/>
        <v>0.9</v>
      </c>
      <c r="N97" s="12">
        <f t="shared" si="15"/>
        <v>0</v>
      </c>
      <c r="O97" s="12">
        <f t="shared" si="15"/>
        <v>0</v>
      </c>
      <c r="P97" s="152">
        <f t="shared" si="16"/>
        <v>0.30774741542531786</v>
      </c>
      <c r="Q97" s="465">
        <f t="shared" si="5"/>
        <v>13.848633694139302</v>
      </c>
      <c r="R97" s="12"/>
      <c r="S97" s="1044">
        <f t="shared" si="6"/>
        <v>0.83091802164835804</v>
      </c>
      <c r="T97" s="1033">
        <f t="shared" si="9"/>
        <v>0.82276025267448416</v>
      </c>
      <c r="U97" s="1034">
        <f t="shared" si="9"/>
        <v>37.024211370351786</v>
      </c>
      <c r="V97" s="1034">
        <f t="shared" si="9"/>
        <v>0</v>
      </c>
      <c r="W97" s="1035">
        <f t="shared" si="9"/>
        <v>2.2214526822211074</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3942.6229713368125</v>
      </c>
      <c r="L98" s="518">
        <f t="shared" si="19"/>
        <v>0.1</v>
      </c>
      <c r="M98" s="518">
        <f t="shared" si="14"/>
        <v>0.9</v>
      </c>
      <c r="N98" s="12">
        <f t="shared" si="15"/>
        <v>0</v>
      </c>
      <c r="O98" s="12">
        <f t="shared" si="15"/>
        <v>0</v>
      </c>
      <c r="P98" s="152">
        <f t="shared" si="16"/>
        <v>0.31540983770694503</v>
      </c>
      <c r="Q98" s="465">
        <f t="shared" si="5"/>
        <v>14.193442696812525</v>
      </c>
      <c r="R98" s="12"/>
      <c r="S98" s="1044">
        <f t="shared" si="6"/>
        <v>0.85160656180875149</v>
      </c>
      <c r="T98" s="1033">
        <f t="shared" si="9"/>
        <v>0.83042267495611144</v>
      </c>
      <c r="U98" s="1034">
        <f t="shared" si="9"/>
        <v>37.369020373025009</v>
      </c>
      <c r="V98" s="1034">
        <f t="shared" si="9"/>
        <v>0</v>
      </c>
      <c r="W98" s="1035">
        <f t="shared" si="9"/>
        <v>2.2421412223815005</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4033.9571187491515</v>
      </c>
      <c r="L99" s="518">
        <f t="shared" si="19"/>
        <v>0.1</v>
      </c>
      <c r="M99" s="518">
        <f t="shared" si="14"/>
        <v>0.9</v>
      </c>
      <c r="N99" s="12">
        <f t="shared" ref="N99:O114" si="20">N97</f>
        <v>0</v>
      </c>
      <c r="O99" s="12">
        <f t="shared" si="20"/>
        <v>0</v>
      </c>
      <c r="P99" s="152">
        <f>L99*$D$5*K99/1000-N99</f>
        <v>0.32271656949993216</v>
      </c>
      <c r="Q99" s="465">
        <f t="shared" si="5"/>
        <v>14.522245627496947</v>
      </c>
      <c r="R99" s="12"/>
      <c r="S99" s="1044">
        <f t="shared" si="6"/>
        <v>0.87133473764981673</v>
      </c>
      <c r="T99" s="1033">
        <f t="shared" si="9"/>
        <v>0.83772940674909857</v>
      </c>
      <c r="U99" s="1034">
        <f t="shared" si="9"/>
        <v>37.697823303709427</v>
      </c>
      <c r="V99" s="1034">
        <f t="shared" si="9"/>
        <v>0</v>
      </c>
      <c r="W99" s="1035">
        <f t="shared" si="9"/>
        <v>2.2618693982225659</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4131.3567455738785</v>
      </c>
      <c r="L100" s="518">
        <f t="shared" si="19"/>
        <v>0.1</v>
      </c>
      <c r="M100" s="518">
        <f t="shared" si="14"/>
        <v>0.9</v>
      </c>
      <c r="N100" s="12">
        <f t="shared" si="20"/>
        <v>0</v>
      </c>
      <c r="O100" s="12">
        <f t="shared" si="20"/>
        <v>0</v>
      </c>
      <c r="P100" s="152">
        <f t="shared" si="16"/>
        <v>0.33050853964591032</v>
      </c>
      <c r="Q100" s="465">
        <f t="shared" si="5"/>
        <v>14.872884284065963</v>
      </c>
      <c r="R100" s="12"/>
      <c r="S100" s="1044">
        <f t="shared" si="6"/>
        <v>0.89237305704395775</v>
      </c>
      <c r="T100" s="1033">
        <f t="shared" si="9"/>
        <v>0.84552137689507667</v>
      </c>
      <c r="U100" s="1034">
        <f t="shared" si="9"/>
        <v>38.048461960278445</v>
      </c>
      <c r="V100" s="1034">
        <f t="shared" si="9"/>
        <v>0</v>
      </c>
      <c r="W100" s="1035">
        <f t="shared" si="9"/>
        <v>2.2829077176167067</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4238.9971068567629</v>
      </c>
      <c r="L101" s="518">
        <f t="shared" si="19"/>
        <v>0.1</v>
      </c>
      <c r="M101" s="518">
        <f t="shared" si="14"/>
        <v>0.9</v>
      </c>
      <c r="N101" s="12">
        <f t="shared" si="20"/>
        <v>0</v>
      </c>
      <c r="O101" s="12">
        <f t="shared" si="20"/>
        <v>0</v>
      </c>
      <c r="P101" s="152">
        <f t="shared" si="16"/>
        <v>0.33911976854854109</v>
      </c>
      <c r="Q101" s="465">
        <f t="shared" si="5"/>
        <v>15.260389584684345</v>
      </c>
      <c r="R101" s="12"/>
      <c r="S101" s="1044">
        <f t="shared" si="6"/>
        <v>0.91562337508106073</v>
      </c>
      <c r="T101" s="1033">
        <f t="shared" si="9"/>
        <v>0.85413260579770744</v>
      </c>
      <c r="U101" s="1034">
        <f t="shared" si="9"/>
        <v>38.435967260896831</v>
      </c>
      <c r="V101" s="1034">
        <f t="shared" si="9"/>
        <v>0</v>
      </c>
      <c r="W101" s="1035">
        <f t="shared" si="9"/>
        <v>2.3061580356538096</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4341.1729138260207</v>
      </c>
      <c r="L102" s="518">
        <f t="shared" si="19"/>
        <v>0.1</v>
      </c>
      <c r="M102" s="518">
        <f t="shared" si="14"/>
        <v>0.9</v>
      </c>
      <c r="N102" s="12">
        <f t="shared" si="20"/>
        <v>0</v>
      </c>
      <c r="O102" s="12">
        <f t="shared" si="20"/>
        <v>0</v>
      </c>
      <c r="P102" s="152">
        <f t="shared" si="16"/>
        <v>0.3472938331060817</v>
      </c>
      <c r="Q102" s="465">
        <f t="shared" si="5"/>
        <v>15.628222489773675</v>
      </c>
      <c r="R102" s="12"/>
      <c r="S102" s="1044">
        <f t="shared" si="6"/>
        <v>0.93769334938642046</v>
      </c>
      <c r="T102" s="1033">
        <f t="shared" si="9"/>
        <v>0.862306670355248</v>
      </c>
      <c r="U102" s="1034">
        <f t="shared" si="9"/>
        <v>38.803800165986161</v>
      </c>
      <c r="V102" s="1034">
        <f t="shared" si="9"/>
        <v>0</v>
      </c>
      <c r="W102" s="1035">
        <f t="shared" si="9"/>
        <v>2.3282280099591697</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4444.0310736329275</v>
      </c>
      <c r="L103" s="518">
        <f t="shared" si="19"/>
        <v>0.1</v>
      </c>
      <c r="M103" s="518">
        <f t="shared" si="14"/>
        <v>0.9</v>
      </c>
      <c r="N103" s="12">
        <f t="shared" si="20"/>
        <v>0</v>
      </c>
      <c r="O103" s="12">
        <f t="shared" si="20"/>
        <v>0</v>
      </c>
      <c r="P103" s="152">
        <f t="shared" si="16"/>
        <v>0.35552248589063423</v>
      </c>
      <c r="Q103" s="465">
        <f t="shared" si="5"/>
        <v>15.998511865078539</v>
      </c>
      <c r="R103" s="12"/>
      <c r="S103" s="1044">
        <f t="shared" si="6"/>
        <v>0.95991071190471233</v>
      </c>
      <c r="T103" s="1033">
        <f t="shared" si="9"/>
        <v>0.87053532313980053</v>
      </c>
      <c r="U103" s="1034">
        <f t="shared" si="9"/>
        <v>39.174089541291025</v>
      </c>
      <c r="V103" s="1034">
        <f t="shared" si="9"/>
        <v>0</v>
      </c>
      <c r="W103" s="1035">
        <f t="shared" si="9"/>
        <v>2.3504453724774614</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4549.242603331425</v>
      </c>
      <c r="L104" s="518">
        <f t="shared" si="19"/>
        <v>0.1</v>
      </c>
      <c r="M104" s="518">
        <f t="shared" si="14"/>
        <v>0.9</v>
      </c>
      <c r="N104" s="12">
        <f t="shared" si="20"/>
        <v>0</v>
      </c>
      <c r="O104" s="12">
        <f t="shared" si="20"/>
        <v>0</v>
      </c>
      <c r="P104" s="152">
        <f t="shared" si="16"/>
        <v>0.36393940826651405</v>
      </c>
      <c r="Q104" s="465">
        <f t="shared" si="5"/>
        <v>16.37727337199313</v>
      </c>
      <c r="R104" s="12"/>
      <c r="S104" s="1044">
        <f t="shared" si="6"/>
        <v>0.98263640231958782</v>
      </c>
      <c r="T104" s="1033">
        <f t="shared" si="9"/>
        <v>0.87895224551568041</v>
      </c>
      <c r="U104" s="1034">
        <f t="shared" si="9"/>
        <v>39.552851048205611</v>
      </c>
      <c r="V104" s="1034">
        <f t="shared" si="9"/>
        <v>0</v>
      </c>
      <c r="W104" s="1035">
        <f t="shared" si="9"/>
        <v>2.3731710628923368</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4658.452026609255</v>
      </c>
      <c r="L105" s="518">
        <f t="shared" si="19"/>
        <v>0.1</v>
      </c>
      <c r="M105" s="518">
        <f t="shared" si="14"/>
        <v>0.9</v>
      </c>
      <c r="N105" s="12">
        <f t="shared" si="20"/>
        <v>0</v>
      </c>
      <c r="O105" s="12">
        <f t="shared" si="20"/>
        <v>0</v>
      </c>
      <c r="P105" s="152">
        <f t="shared" si="16"/>
        <v>0.3726761621287405</v>
      </c>
      <c r="Q105" s="465">
        <f t="shared" si="5"/>
        <v>16.770427295793318</v>
      </c>
      <c r="R105" s="12"/>
      <c r="S105" s="1044">
        <f t="shared" si="6"/>
        <v>1.0062256377475991</v>
      </c>
      <c r="T105" s="1033">
        <f t="shared" si="9"/>
        <v>0.88768899937790691</v>
      </c>
      <c r="U105" s="1034">
        <f t="shared" si="9"/>
        <v>39.946004972005802</v>
      </c>
      <c r="V105" s="1034">
        <f t="shared" si="9"/>
        <v>0</v>
      </c>
      <c r="W105" s="1035">
        <f t="shared" si="9"/>
        <v>2.3967602983203484</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4763.4596201901322</v>
      </c>
      <c r="L106" s="518">
        <f t="shared" si="19"/>
        <v>0.1</v>
      </c>
      <c r="M106" s="518">
        <f t="shared" si="14"/>
        <v>0.9</v>
      </c>
      <c r="N106" s="12">
        <f t="shared" si="20"/>
        <v>0</v>
      </c>
      <c r="O106" s="12">
        <f t="shared" si="20"/>
        <v>0</v>
      </c>
      <c r="P106" s="152">
        <f t="shared" si="16"/>
        <v>0.38107676961521064</v>
      </c>
      <c r="Q106" s="465">
        <f t="shared" si="5"/>
        <v>17.148454632684476</v>
      </c>
      <c r="R106" s="12"/>
      <c r="S106" s="1044">
        <f t="shared" si="6"/>
        <v>1.0289072779610686</v>
      </c>
      <c r="T106" s="1033">
        <f t="shared" si="9"/>
        <v>0.896089606864377</v>
      </c>
      <c r="U106" s="1034">
        <f t="shared" si="9"/>
        <v>40.32403230889696</v>
      </c>
      <c r="V106" s="1034">
        <f t="shared" si="9"/>
        <v>0</v>
      </c>
      <c r="W106" s="1035">
        <f t="shared" si="9"/>
        <v>2.4194419385338177</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4871.4474578321506</v>
      </c>
      <c r="L107" s="518">
        <f t="shared" si="19"/>
        <v>0.1</v>
      </c>
      <c r="M107" s="518">
        <f t="shared" si="14"/>
        <v>0.9</v>
      </c>
      <c r="N107" s="12">
        <f t="shared" si="20"/>
        <v>0</v>
      </c>
      <c r="O107" s="12">
        <f t="shared" si="20"/>
        <v>0</v>
      </c>
      <c r="P107" s="152">
        <f t="shared" si="16"/>
        <v>0.38971579662657213</v>
      </c>
      <c r="Q107" s="465">
        <f t="shared" si="5"/>
        <v>17.537210848195745</v>
      </c>
      <c r="R107" s="12"/>
      <c r="S107" s="1044">
        <f t="shared" si="6"/>
        <v>1.0522326508917446</v>
      </c>
      <c r="T107" s="1033">
        <f t="shared" si="9"/>
        <v>0.90472863387573854</v>
      </c>
      <c r="U107" s="1034">
        <f t="shared" si="9"/>
        <v>40.712788524408225</v>
      </c>
      <c r="V107" s="1034">
        <f t="shared" si="9"/>
        <v>0</v>
      </c>
      <c r="W107" s="1035">
        <f t="shared" si="9"/>
        <v>2.4427673114644937</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4983.6817890261063</v>
      </c>
      <c r="L108" s="518">
        <f t="shared" si="19"/>
        <v>0.1</v>
      </c>
      <c r="M108" s="518">
        <f t="shared" si="14"/>
        <v>0.9</v>
      </c>
      <c r="N108" s="12">
        <f t="shared" si="20"/>
        <v>0</v>
      </c>
      <c r="O108" s="12">
        <f t="shared" si="20"/>
        <v>0</v>
      </c>
      <c r="P108" s="152">
        <f t="shared" si="16"/>
        <v>0.39869454312208857</v>
      </c>
      <c r="Q108" s="465">
        <f t="shared" si="5"/>
        <v>17.941254440493985</v>
      </c>
      <c r="R108" s="12"/>
      <c r="S108" s="1044">
        <f t="shared" si="6"/>
        <v>1.0764752664296389</v>
      </c>
      <c r="T108" s="1033">
        <f t="shared" si="9"/>
        <v>0.91370738037125498</v>
      </c>
      <c r="U108" s="1034">
        <f t="shared" si="9"/>
        <v>41.116832116706469</v>
      </c>
      <c r="V108" s="1034">
        <f t="shared" si="9"/>
        <v>0</v>
      </c>
      <c r="W108" s="1035">
        <f t="shared" si="9"/>
        <v>2.4670099270023877</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5100.203908457429</v>
      </c>
      <c r="L109" s="518">
        <f t="shared" si="19"/>
        <v>0.1</v>
      </c>
      <c r="M109" s="518">
        <f t="shared" si="14"/>
        <v>0.9</v>
      </c>
      <c r="N109" s="12">
        <f t="shared" si="20"/>
        <v>0</v>
      </c>
      <c r="O109" s="12">
        <f t="shared" si="20"/>
        <v>0</v>
      </c>
      <c r="P109" s="152">
        <f t="shared" si="16"/>
        <v>0.40801631267659438</v>
      </c>
      <c r="Q109" s="465">
        <f t="shared" si="5"/>
        <v>18.360734070446746</v>
      </c>
      <c r="R109" s="12"/>
      <c r="S109" s="1044">
        <f t="shared" si="6"/>
        <v>1.1016440442268047</v>
      </c>
      <c r="T109" s="1033">
        <f t="shared" si="9"/>
        <v>0.92302914992576079</v>
      </c>
      <c r="U109" s="1034">
        <f t="shared" si="9"/>
        <v>41.53631174665923</v>
      </c>
      <c r="V109" s="1034">
        <f t="shared" si="9"/>
        <v>0</v>
      </c>
      <c r="W109" s="1035">
        <f t="shared" si="9"/>
        <v>2.4921787047995538</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5217.0541904040911</v>
      </c>
      <c r="L110" s="518">
        <f t="shared" si="19"/>
        <v>0.1</v>
      </c>
      <c r="M110" s="518">
        <f t="shared" si="14"/>
        <v>0.9</v>
      </c>
      <c r="N110" s="12">
        <f t="shared" si="20"/>
        <v>0</v>
      </c>
      <c r="O110" s="12">
        <f t="shared" si="20"/>
        <v>0</v>
      </c>
      <c r="P110" s="152">
        <f t="shared" si="16"/>
        <v>0.41736433523232741</v>
      </c>
      <c r="Q110" s="465">
        <f t="shared" si="5"/>
        <v>18.781395085454729</v>
      </c>
      <c r="R110" s="12"/>
      <c r="S110" s="1044">
        <f t="shared" si="6"/>
        <v>1.1268837051272838</v>
      </c>
      <c r="T110" s="1033">
        <f t="shared" si="9"/>
        <v>0.93237717248149377</v>
      </c>
      <c r="U110" s="1034">
        <f t="shared" si="9"/>
        <v>41.956972761667217</v>
      </c>
      <c r="V110" s="1034">
        <f t="shared" si="9"/>
        <v>0</v>
      </c>
      <c r="W110" s="1035">
        <f t="shared" si="9"/>
        <v>2.5174183657000331</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5243.2755347882812</v>
      </c>
      <c r="L111" s="518">
        <f t="shared" si="19"/>
        <v>0.1</v>
      </c>
      <c r="M111" s="518">
        <f t="shared" si="14"/>
        <v>0.9</v>
      </c>
      <c r="N111" s="12">
        <f t="shared" si="20"/>
        <v>0</v>
      </c>
      <c r="O111" s="12">
        <f t="shared" si="20"/>
        <v>0</v>
      </c>
      <c r="P111" s="152">
        <f t="shared" si="16"/>
        <v>0.41946204278306259</v>
      </c>
      <c r="Q111" s="465">
        <f t="shared" si="5"/>
        <v>18.875791925237813</v>
      </c>
      <c r="R111" s="12"/>
      <c r="S111" s="1044">
        <f t="shared" si="6"/>
        <v>1.1325475155142688</v>
      </c>
      <c r="T111" s="1033">
        <f t="shared" si="9"/>
        <v>0.93447488003222889</v>
      </c>
      <c r="U111" s="1034">
        <f t="shared" si="9"/>
        <v>42.051369601450297</v>
      </c>
      <c r="V111" s="1034">
        <f t="shared" si="9"/>
        <v>0</v>
      </c>
      <c r="W111" s="1035">
        <f t="shared" si="9"/>
        <v>2.5230821760870179</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5258.9439907476335</v>
      </c>
      <c r="L112" s="518">
        <f t="shared" si="19"/>
        <v>0.1</v>
      </c>
      <c r="M112" s="518">
        <f t="shared" si="14"/>
        <v>0.9</v>
      </c>
      <c r="N112" s="12">
        <f t="shared" si="20"/>
        <v>0</v>
      </c>
      <c r="O112" s="12">
        <f t="shared" si="20"/>
        <v>0</v>
      </c>
      <c r="P112" s="152">
        <f t="shared" si="16"/>
        <v>0.42071551925981077</v>
      </c>
      <c r="Q112" s="465">
        <f t="shared" si="5"/>
        <v>18.93219836669148</v>
      </c>
      <c r="R112" s="12"/>
      <c r="S112" s="1044">
        <f t="shared" si="6"/>
        <v>1.1359319020014889</v>
      </c>
      <c r="T112" s="1033">
        <f t="shared" si="9"/>
        <v>0.93572835650897712</v>
      </c>
      <c r="U112" s="1034">
        <f t="shared" si="9"/>
        <v>42.107776042903964</v>
      </c>
      <c r="V112" s="1034">
        <f t="shared" si="9"/>
        <v>0</v>
      </c>
      <c r="W112" s="1035">
        <f t="shared" si="9"/>
        <v>2.526466562574238</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5275.1601987700142</v>
      </c>
      <c r="L113" s="518">
        <f t="shared" si="19"/>
        <v>0.1</v>
      </c>
      <c r="M113" s="518">
        <f t="shared" si="14"/>
        <v>0.9</v>
      </c>
      <c r="N113" s="12">
        <f t="shared" si="20"/>
        <v>0</v>
      </c>
      <c r="O113" s="12">
        <f t="shared" si="20"/>
        <v>0</v>
      </c>
      <c r="P113" s="690">
        <f t="shared" si="8"/>
        <v>0.42201281590160122</v>
      </c>
      <c r="Q113" s="465">
        <f t="shared" si="5"/>
        <v>18.990576715572054</v>
      </c>
      <c r="R113" s="12"/>
      <c r="S113" s="1044">
        <f t="shared" si="6"/>
        <v>1.139434602934323</v>
      </c>
      <c r="T113" s="1033">
        <f t="shared" si="9"/>
        <v>0.93702565315076758</v>
      </c>
      <c r="U113" s="1034">
        <f t="shared" si="9"/>
        <v>42.166154391784538</v>
      </c>
      <c r="V113" s="1034">
        <f t="shared" si="9"/>
        <v>0</v>
      </c>
      <c r="W113" s="1035">
        <f t="shared" si="9"/>
        <v>2.5299692635070721</v>
      </c>
    </row>
    <row r="114" spans="1:23" ht="1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5287.0208083773005</v>
      </c>
      <c r="L114" s="520">
        <f t="shared" si="19"/>
        <v>0.1</v>
      </c>
      <c r="M114" s="520">
        <f t="shared" si="14"/>
        <v>0.9</v>
      </c>
      <c r="N114" s="1045">
        <f t="shared" si="20"/>
        <v>0</v>
      </c>
      <c r="O114" s="1045">
        <f t="shared" si="20"/>
        <v>0</v>
      </c>
      <c r="P114" s="1046">
        <f t="shared" si="8"/>
        <v>0.42296166467018415</v>
      </c>
      <c r="Q114" s="988">
        <f t="shared" si="5"/>
        <v>19.03327491015828</v>
      </c>
      <c r="R114" s="1045"/>
      <c r="S114" s="1047">
        <f t="shared" si="6"/>
        <v>1.1419964946094969</v>
      </c>
      <c r="T114" s="1048">
        <f t="shared" si="9"/>
        <v>0.9379745019193505</v>
      </c>
      <c r="U114" s="1049">
        <f t="shared" si="9"/>
        <v>42.208852586370767</v>
      </c>
      <c r="V114" s="1049">
        <f t="shared" si="9"/>
        <v>0</v>
      </c>
      <c r="W114" s="1050">
        <f t="shared" si="9"/>
        <v>2.5325311551822463</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2562.5510023172546</v>
      </c>
      <c r="L117" s="518">
        <f>($L$120-$L$80)/($A$120-$A$80)+L116</f>
        <v>0.1</v>
      </c>
      <c r="M117" s="518">
        <f t="shared" ref="M117:M148" si="28">1-L117</f>
        <v>0.9</v>
      </c>
      <c r="N117" s="12">
        <f t="shared" ref="N117:O132" si="29">N115</f>
        <v>0</v>
      </c>
      <c r="O117" s="12">
        <f t="shared" si="29"/>
        <v>0</v>
      </c>
      <c r="P117" s="690">
        <f>L117*$D$5*K117/1000-N117</f>
        <v>0.20500408018538041</v>
      </c>
      <c r="Q117" s="465">
        <f t="shared" si="21"/>
        <v>9.2251836083421175</v>
      </c>
      <c r="R117" s="12"/>
      <c r="S117" s="1044">
        <f t="shared" si="22"/>
        <v>0.55351101650052703</v>
      </c>
      <c r="T117" s="1033">
        <f t="shared" si="23"/>
        <v>0.42961291719026418</v>
      </c>
      <c r="U117" s="1034">
        <f t="shared" si="23"/>
        <v>24.145627780809392</v>
      </c>
      <c r="V117" s="1034">
        <f t="shared" si="23"/>
        <v>0</v>
      </c>
      <c r="W117" s="1035">
        <f t="shared" si="23"/>
        <v>1.4487376668485634</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2507.7293795159117</v>
      </c>
      <c r="L118" s="518">
        <f t="shared" ref="L118:L119" si="31">($L$120-$L$80)/($A$120-$A$80)+L117</f>
        <v>0.1</v>
      </c>
      <c r="M118" s="518">
        <f t="shared" si="28"/>
        <v>0.9</v>
      </c>
      <c r="N118" s="12">
        <f t="shared" si="29"/>
        <v>0</v>
      </c>
      <c r="O118" s="12">
        <f t="shared" si="29"/>
        <v>0</v>
      </c>
      <c r="P118" s="690">
        <f t="shared" ref="P118:P148" si="32">L118*$D$5*K118/1000-N118</f>
        <v>0.20061835036127298</v>
      </c>
      <c r="Q118" s="465">
        <f t="shared" si="21"/>
        <v>9.0278257662572816</v>
      </c>
      <c r="R118" s="12"/>
      <c r="S118" s="1044">
        <f t="shared" si="22"/>
        <v>0.54166954597543693</v>
      </c>
      <c r="T118" s="1033">
        <f t="shared" si="23"/>
        <v>0.4767284710910733</v>
      </c>
      <c r="U118" s="1034">
        <f t="shared" si="23"/>
        <v>24.904157708220801</v>
      </c>
      <c r="V118" s="1034">
        <f t="shared" si="23"/>
        <v>0</v>
      </c>
      <c r="W118" s="1035">
        <f t="shared" si="23"/>
        <v>1.4942494624932481</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2652.7490365483027</v>
      </c>
      <c r="L119" s="518">
        <f t="shared" si="31"/>
        <v>0.1</v>
      </c>
      <c r="M119" s="518">
        <f t="shared" si="28"/>
        <v>0.9</v>
      </c>
      <c r="N119" s="12">
        <f t="shared" si="29"/>
        <v>0</v>
      </c>
      <c r="O119" s="12">
        <f t="shared" si="29"/>
        <v>0</v>
      </c>
      <c r="P119" s="690">
        <f t="shared" si="32"/>
        <v>0.21221992292386427</v>
      </c>
      <c r="Q119" s="465">
        <f t="shared" si="21"/>
        <v>9.5498965315738893</v>
      </c>
      <c r="R119" s="12"/>
      <c r="S119" s="1044">
        <f t="shared" si="22"/>
        <v>0.57299379189443334</v>
      </c>
      <c r="T119" s="1033">
        <f t="shared" si="23"/>
        <v>0.54468490413106452</v>
      </c>
      <c r="U119" s="1034">
        <f t="shared" si="23"/>
        <v>26.357848359271241</v>
      </c>
      <c r="V119" s="1034">
        <f t="shared" si="23"/>
        <v>0</v>
      </c>
      <c r="W119" s="1035">
        <f t="shared" si="23"/>
        <v>1.5814709015562745</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2776.0085848679064</v>
      </c>
      <c r="L120" s="518">
        <f>'Recycling - Case 1'!C31</f>
        <v>0.1</v>
      </c>
      <c r="M120" s="518">
        <f t="shared" si="28"/>
        <v>0.9</v>
      </c>
      <c r="N120" s="12">
        <f t="shared" si="29"/>
        <v>0</v>
      </c>
      <c r="O120" s="12">
        <f t="shared" si="29"/>
        <v>0</v>
      </c>
      <c r="P120" s="690">
        <f t="shared" si="32"/>
        <v>0.22208068678943255</v>
      </c>
      <c r="Q120" s="465">
        <f t="shared" si="21"/>
        <v>9.9936309055244639</v>
      </c>
      <c r="R120" s="12"/>
      <c r="S120" s="1044">
        <f t="shared" si="22"/>
        <v>0.59961785433146786</v>
      </c>
      <c r="T120" s="1033">
        <f t="shared" si="23"/>
        <v>0.61575410522651619</v>
      </c>
      <c r="U120" s="1034">
        <f t="shared" si="23"/>
        <v>27.708934735193225</v>
      </c>
      <c r="V120" s="1034">
        <f t="shared" si="23"/>
        <v>0</v>
      </c>
      <c r="W120" s="1035">
        <f t="shared" si="23"/>
        <v>1.6625360841115935</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2893.6918745285916</v>
      </c>
      <c r="L121" s="518">
        <f>L120</f>
        <v>0.1</v>
      </c>
      <c r="M121" s="518">
        <f t="shared" si="28"/>
        <v>0.9</v>
      </c>
      <c r="N121" s="12">
        <f t="shared" si="29"/>
        <v>0</v>
      </c>
      <c r="O121" s="12">
        <f t="shared" si="29"/>
        <v>0</v>
      </c>
      <c r="P121" s="690">
        <f t="shared" si="32"/>
        <v>0.23149534996228738</v>
      </c>
      <c r="Q121" s="465">
        <f t="shared" si="21"/>
        <v>10.41729074830293</v>
      </c>
      <c r="R121" s="12"/>
      <c r="S121" s="1044">
        <f t="shared" si="22"/>
        <v>0.6250374448981757</v>
      </c>
      <c r="T121" s="1033">
        <f t="shared" si="23"/>
        <v>0.64943665216178759</v>
      </c>
      <c r="U121" s="1034">
        <f t="shared" si="23"/>
        <v>29.224649347280433</v>
      </c>
      <c r="V121" s="1034">
        <f t="shared" si="23"/>
        <v>0</v>
      </c>
      <c r="W121" s="1035">
        <f t="shared" si="23"/>
        <v>1.753478960836826</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3016.266474169538</v>
      </c>
      <c r="L122" s="518">
        <f t="shared" ref="L122:L148" si="34">L121</f>
        <v>0.1</v>
      </c>
      <c r="M122" s="518">
        <f t="shared" si="28"/>
        <v>0.9</v>
      </c>
      <c r="N122" s="12">
        <f t="shared" si="29"/>
        <v>0</v>
      </c>
      <c r="O122" s="12">
        <f t="shared" si="29"/>
        <v>0</v>
      </c>
      <c r="P122" s="690">
        <f t="shared" si="32"/>
        <v>0.2413013179335631</v>
      </c>
      <c r="Q122" s="465">
        <f t="shared" si="21"/>
        <v>10.858559307010337</v>
      </c>
      <c r="R122" s="12"/>
      <c r="S122" s="1044">
        <f t="shared" si="22"/>
        <v>0.65151355842062031</v>
      </c>
      <c r="T122" s="1033">
        <f t="shared" si="23"/>
        <v>0.68351050389547985</v>
      </c>
      <c r="U122" s="1034">
        <f t="shared" si="23"/>
        <v>30.757972675296585</v>
      </c>
      <c r="V122" s="1034">
        <f t="shared" si="23"/>
        <v>0</v>
      </c>
      <c r="W122" s="1035">
        <f t="shared" si="23"/>
        <v>1.8454783605177951</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3145.1948878286516</v>
      </c>
      <c r="L123" s="518">
        <f t="shared" si="34"/>
        <v>0.1</v>
      </c>
      <c r="M123" s="518">
        <f t="shared" si="28"/>
        <v>0.9</v>
      </c>
      <c r="N123" s="12">
        <f t="shared" si="29"/>
        <v>0</v>
      </c>
      <c r="O123" s="12">
        <f t="shared" si="29"/>
        <v>0</v>
      </c>
      <c r="P123" s="690">
        <f t="shared" si="32"/>
        <v>0.25161559102629216</v>
      </c>
      <c r="Q123" s="465">
        <f t="shared" si="21"/>
        <v>11.322701596183146</v>
      </c>
      <c r="R123" s="12"/>
      <c r="S123" s="1044">
        <f t="shared" si="22"/>
        <v>0.67936209577098872</v>
      </c>
      <c r="T123" s="1033">
        <f t="shared" si="23"/>
        <v>0.7180926607506255</v>
      </c>
      <c r="U123" s="1034">
        <f t="shared" si="23"/>
        <v>32.314169733778144</v>
      </c>
      <c r="V123" s="1034">
        <f t="shared" si="23"/>
        <v>0</v>
      </c>
      <c r="W123" s="1035">
        <f t="shared" si="23"/>
        <v>1.9388501840266885</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3276.9726896886114</v>
      </c>
      <c r="L124" s="518">
        <f t="shared" si="34"/>
        <v>0.1</v>
      </c>
      <c r="M124" s="518">
        <f t="shared" si="28"/>
        <v>0.9</v>
      </c>
      <c r="N124" s="12">
        <f t="shared" si="29"/>
        <v>0</v>
      </c>
      <c r="O124" s="12">
        <f t="shared" si="29"/>
        <v>0</v>
      </c>
      <c r="P124" s="690">
        <f t="shared" si="32"/>
        <v>0.26215781517508896</v>
      </c>
      <c r="Q124" s="465">
        <f t="shared" si="21"/>
        <v>11.797101682879001</v>
      </c>
      <c r="R124" s="12"/>
      <c r="S124" s="1044">
        <f t="shared" si="22"/>
        <v>0.70782610097274001</v>
      </c>
      <c r="T124" s="1033">
        <f t="shared" si="23"/>
        <v>0.75290276866183881</v>
      </c>
      <c r="U124" s="1034">
        <f t="shared" si="23"/>
        <v>33.880624589782741</v>
      </c>
      <c r="V124" s="1034">
        <f t="shared" si="23"/>
        <v>0</v>
      </c>
      <c r="W124" s="1035">
        <f t="shared" si="23"/>
        <v>2.0328374753869642</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3413.4690396132614</v>
      </c>
      <c r="L125" s="518">
        <f t="shared" si="34"/>
        <v>0.1</v>
      </c>
      <c r="M125" s="518">
        <f t="shared" si="28"/>
        <v>0.9</v>
      </c>
      <c r="N125" s="12">
        <f t="shared" si="29"/>
        <v>0</v>
      </c>
      <c r="O125" s="12">
        <f t="shared" si="29"/>
        <v>0</v>
      </c>
      <c r="P125" s="690">
        <f t="shared" si="32"/>
        <v>0.27307752316906098</v>
      </c>
      <c r="Q125" s="465">
        <f t="shared" si="21"/>
        <v>12.288488542607741</v>
      </c>
      <c r="R125" s="12"/>
      <c r="S125" s="1044">
        <f t="shared" si="22"/>
        <v>0.73730931255646437</v>
      </c>
      <c r="T125" s="1033">
        <f t="shared" si="23"/>
        <v>0.78809036041822733</v>
      </c>
      <c r="U125" s="1034">
        <f t="shared" si="23"/>
        <v>35.464066218820221</v>
      </c>
      <c r="V125" s="1034">
        <f t="shared" si="23"/>
        <v>0</v>
      </c>
      <c r="W125" s="1035">
        <f t="shared" si="23"/>
        <v>2.1278439731292136</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3474.2495868371143</v>
      </c>
      <c r="L126" s="518">
        <f t="shared" si="34"/>
        <v>0.1</v>
      </c>
      <c r="M126" s="518">
        <f t="shared" si="28"/>
        <v>0.9</v>
      </c>
      <c r="N126" s="12">
        <f t="shared" si="29"/>
        <v>0</v>
      </c>
      <c r="O126" s="12">
        <f t="shared" si="29"/>
        <v>0</v>
      </c>
      <c r="P126" s="690">
        <f t="shared" si="32"/>
        <v>0.27793996694696921</v>
      </c>
      <c r="Q126" s="465">
        <f t="shared" si="21"/>
        <v>12.507298512613612</v>
      </c>
      <c r="R126" s="12"/>
      <c r="S126" s="1044">
        <f t="shared" si="22"/>
        <v>0.75043791075681665</v>
      </c>
      <c r="T126" s="1033">
        <f t="shared" si="23"/>
        <v>0.79295280419613556</v>
      </c>
      <c r="U126" s="1034">
        <f t="shared" si="23"/>
        <v>35.6828761888261</v>
      </c>
      <c r="V126" s="1034">
        <f t="shared" si="23"/>
        <v>0</v>
      </c>
      <c r="W126" s="1035">
        <f t="shared" si="23"/>
        <v>2.1409725713295655</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3539.5837004803343</v>
      </c>
      <c r="L127" s="518">
        <f t="shared" si="34"/>
        <v>0.1</v>
      </c>
      <c r="M127" s="518">
        <f t="shared" si="28"/>
        <v>0.9</v>
      </c>
      <c r="N127" s="12">
        <f t="shared" si="29"/>
        <v>0</v>
      </c>
      <c r="O127" s="12">
        <f t="shared" si="29"/>
        <v>0</v>
      </c>
      <c r="P127" s="690">
        <f t="shared" si="32"/>
        <v>0.28316669603842676</v>
      </c>
      <c r="Q127" s="465">
        <f t="shared" si="21"/>
        <v>12.742501321729204</v>
      </c>
      <c r="R127" s="12"/>
      <c r="S127" s="1044">
        <f t="shared" si="22"/>
        <v>0.76455007930375218</v>
      </c>
      <c r="T127" s="1033">
        <f t="shared" si="23"/>
        <v>0.79817953328759317</v>
      </c>
      <c r="U127" s="1034">
        <f t="shared" si="23"/>
        <v>35.918078997941691</v>
      </c>
      <c r="V127" s="1034">
        <f t="shared" si="23"/>
        <v>0</v>
      </c>
      <c r="W127" s="1035">
        <f t="shared" si="23"/>
        <v>2.1550847398765014</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3604.9206439543955</v>
      </c>
      <c r="L128" s="518">
        <f t="shared" si="34"/>
        <v>0.1</v>
      </c>
      <c r="M128" s="518">
        <f t="shared" si="28"/>
        <v>0.9</v>
      </c>
      <c r="N128" s="12">
        <f t="shared" si="29"/>
        <v>0</v>
      </c>
      <c r="O128" s="12">
        <f t="shared" si="29"/>
        <v>0</v>
      </c>
      <c r="P128" s="690">
        <f t="shared" si="32"/>
        <v>0.28839365151635166</v>
      </c>
      <c r="Q128" s="465">
        <f t="shared" si="21"/>
        <v>12.977714318235822</v>
      </c>
      <c r="R128" s="12"/>
      <c r="S128" s="1044">
        <f t="shared" si="22"/>
        <v>0.77866285909414945</v>
      </c>
      <c r="T128" s="1033">
        <f t="shared" si="23"/>
        <v>0.80340648876551801</v>
      </c>
      <c r="U128" s="1034">
        <f t="shared" si="23"/>
        <v>36.15329199444831</v>
      </c>
      <c r="V128" s="1034">
        <f t="shared" si="23"/>
        <v>0</v>
      </c>
      <c r="W128" s="1035">
        <f t="shared" si="23"/>
        <v>2.1691975196668984</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3681.3674299410918</v>
      </c>
      <c r="L129" s="518">
        <f t="shared" si="34"/>
        <v>0.1</v>
      </c>
      <c r="M129" s="518">
        <f t="shared" si="28"/>
        <v>0.9</v>
      </c>
      <c r="N129" s="12">
        <f t="shared" si="29"/>
        <v>0</v>
      </c>
      <c r="O129" s="12">
        <f t="shared" si="29"/>
        <v>0</v>
      </c>
      <c r="P129" s="690">
        <f t="shared" si="32"/>
        <v>0.29450939439528739</v>
      </c>
      <c r="Q129" s="465">
        <f t="shared" si="21"/>
        <v>13.252922747787931</v>
      </c>
      <c r="R129" s="12"/>
      <c r="S129" s="1044">
        <f t="shared" si="22"/>
        <v>0.7951753648672758</v>
      </c>
      <c r="T129" s="1033">
        <f t="shared" si="23"/>
        <v>0.80952223164445369</v>
      </c>
      <c r="U129" s="1034">
        <f t="shared" si="23"/>
        <v>36.428500424000418</v>
      </c>
      <c r="V129" s="1034">
        <f t="shared" si="23"/>
        <v>0</v>
      </c>
      <c r="W129" s="1035">
        <f t="shared" si="23"/>
        <v>2.185710025440025</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3762.1138340559442</v>
      </c>
      <c r="L130" s="518">
        <f t="shared" si="34"/>
        <v>0.1</v>
      </c>
      <c r="M130" s="518">
        <f t="shared" si="28"/>
        <v>0.9</v>
      </c>
      <c r="N130" s="12">
        <f t="shared" si="29"/>
        <v>0</v>
      </c>
      <c r="O130" s="12">
        <f t="shared" si="29"/>
        <v>0</v>
      </c>
      <c r="P130" s="690">
        <f t="shared" si="32"/>
        <v>0.30096910672447558</v>
      </c>
      <c r="Q130" s="465">
        <f t="shared" si="21"/>
        <v>13.543609802601399</v>
      </c>
      <c r="R130" s="12"/>
      <c r="S130" s="1044">
        <f t="shared" si="22"/>
        <v>0.81261658815608395</v>
      </c>
      <c r="T130" s="1033">
        <f t="shared" si="23"/>
        <v>0.81598194397364199</v>
      </c>
      <c r="U130" s="1034">
        <f t="shared" si="23"/>
        <v>36.719187478813879</v>
      </c>
      <c r="V130" s="1034">
        <f t="shared" si="23"/>
        <v>0</v>
      </c>
      <c r="W130" s="1035">
        <f t="shared" si="23"/>
        <v>2.2031512487288332</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3846.8426928164727</v>
      </c>
      <c r="L131" s="518">
        <f t="shared" si="34"/>
        <v>0.1</v>
      </c>
      <c r="M131" s="518">
        <f t="shared" si="28"/>
        <v>0.9</v>
      </c>
      <c r="N131" s="12">
        <f t="shared" si="29"/>
        <v>0</v>
      </c>
      <c r="O131" s="12">
        <f t="shared" si="29"/>
        <v>0</v>
      </c>
      <c r="P131" s="690">
        <f t="shared" si="32"/>
        <v>0.30774741542531786</v>
      </c>
      <c r="Q131" s="465">
        <f t="shared" si="21"/>
        <v>13.848633694139302</v>
      </c>
      <c r="R131" s="12"/>
      <c r="S131" s="1044">
        <f t="shared" si="22"/>
        <v>0.83091802164835804</v>
      </c>
      <c r="T131" s="1033">
        <f t="shared" si="23"/>
        <v>0.82276025267448416</v>
      </c>
      <c r="U131" s="1034">
        <f t="shared" si="23"/>
        <v>37.024211370351786</v>
      </c>
      <c r="V131" s="1034">
        <f t="shared" si="23"/>
        <v>0</v>
      </c>
      <c r="W131" s="1035">
        <f t="shared" si="23"/>
        <v>2.2214526822211074</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3942.6229713368125</v>
      </c>
      <c r="L132" s="518">
        <f t="shared" si="34"/>
        <v>0.1</v>
      </c>
      <c r="M132" s="518">
        <f t="shared" si="28"/>
        <v>0.9</v>
      </c>
      <c r="N132" s="12">
        <f t="shared" si="29"/>
        <v>0</v>
      </c>
      <c r="O132" s="12">
        <f t="shared" si="29"/>
        <v>0</v>
      </c>
      <c r="P132" s="690">
        <f t="shared" si="32"/>
        <v>0.31540983770694503</v>
      </c>
      <c r="Q132" s="465">
        <f t="shared" si="21"/>
        <v>14.193442696812525</v>
      </c>
      <c r="R132" s="12"/>
      <c r="S132" s="1044">
        <f t="shared" si="22"/>
        <v>0.85160656180875149</v>
      </c>
      <c r="T132" s="1033">
        <f t="shared" si="23"/>
        <v>0.83042267495611144</v>
      </c>
      <c r="U132" s="1034">
        <f t="shared" si="23"/>
        <v>37.369020373025009</v>
      </c>
      <c r="V132" s="1034">
        <f t="shared" si="23"/>
        <v>0</v>
      </c>
      <c r="W132" s="1035">
        <f t="shared" si="23"/>
        <v>2.2421412223815005</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4033.9571187491515</v>
      </c>
      <c r="L133" s="518">
        <f t="shared" si="34"/>
        <v>0.1</v>
      </c>
      <c r="M133" s="518">
        <f t="shared" si="28"/>
        <v>0.9</v>
      </c>
      <c r="N133" s="12">
        <f t="shared" ref="N133:O148" si="35">N131</f>
        <v>0</v>
      </c>
      <c r="O133" s="12">
        <f t="shared" si="35"/>
        <v>0</v>
      </c>
      <c r="P133" s="690">
        <f t="shared" si="32"/>
        <v>0.32271656949993216</v>
      </c>
      <c r="Q133" s="465">
        <f t="shared" si="21"/>
        <v>14.522245627496947</v>
      </c>
      <c r="R133" s="12"/>
      <c r="S133" s="1044">
        <f t="shared" si="22"/>
        <v>0.87133473764981673</v>
      </c>
      <c r="T133" s="1033">
        <f t="shared" si="23"/>
        <v>0.83772940674909857</v>
      </c>
      <c r="U133" s="1034">
        <f t="shared" si="23"/>
        <v>37.697823303709427</v>
      </c>
      <c r="V133" s="1034">
        <f t="shared" si="23"/>
        <v>0</v>
      </c>
      <c r="W133" s="1035">
        <f t="shared" si="23"/>
        <v>2.2618693982225659</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4131.3567455738785</v>
      </c>
      <c r="L134" s="518">
        <f t="shared" si="34"/>
        <v>0.1</v>
      </c>
      <c r="M134" s="518">
        <f t="shared" si="28"/>
        <v>0.9</v>
      </c>
      <c r="N134" s="12">
        <f t="shared" si="35"/>
        <v>0</v>
      </c>
      <c r="O134" s="12">
        <f t="shared" si="35"/>
        <v>0</v>
      </c>
      <c r="P134" s="690">
        <f t="shared" si="32"/>
        <v>0.33050853964591032</v>
      </c>
      <c r="Q134" s="465">
        <f t="shared" si="21"/>
        <v>14.872884284065963</v>
      </c>
      <c r="R134" s="12"/>
      <c r="S134" s="1044">
        <f t="shared" si="22"/>
        <v>0.89237305704395775</v>
      </c>
      <c r="T134" s="1033">
        <f t="shared" si="23"/>
        <v>0.84552137689507667</v>
      </c>
      <c r="U134" s="1034">
        <f t="shared" si="23"/>
        <v>38.048461960278445</v>
      </c>
      <c r="V134" s="1034">
        <f t="shared" si="23"/>
        <v>0</v>
      </c>
      <c r="W134" s="1035">
        <f t="shared" si="23"/>
        <v>2.2829077176167067</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4238.9971068567629</v>
      </c>
      <c r="L135" s="518">
        <f t="shared" si="34"/>
        <v>0.1</v>
      </c>
      <c r="M135" s="518">
        <f t="shared" si="28"/>
        <v>0.9</v>
      </c>
      <c r="N135" s="12">
        <f t="shared" si="35"/>
        <v>0</v>
      </c>
      <c r="O135" s="12">
        <f t="shared" si="35"/>
        <v>0</v>
      </c>
      <c r="P135" s="690">
        <f t="shared" si="32"/>
        <v>0.33911976854854109</v>
      </c>
      <c r="Q135" s="465">
        <f t="shared" si="21"/>
        <v>15.260389584684345</v>
      </c>
      <c r="R135" s="12"/>
      <c r="S135" s="1044">
        <f t="shared" si="22"/>
        <v>0.91562337508106073</v>
      </c>
      <c r="T135" s="1033">
        <f t="shared" si="23"/>
        <v>0.85413260579770744</v>
      </c>
      <c r="U135" s="1034">
        <f t="shared" si="23"/>
        <v>38.435967260896831</v>
      </c>
      <c r="V135" s="1034">
        <f t="shared" si="23"/>
        <v>0</v>
      </c>
      <c r="W135" s="1035">
        <f t="shared" si="23"/>
        <v>2.3061580356538096</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4341.1729138260207</v>
      </c>
      <c r="L136" s="518">
        <f t="shared" si="34"/>
        <v>0.1</v>
      </c>
      <c r="M136" s="518">
        <f t="shared" si="28"/>
        <v>0.9</v>
      </c>
      <c r="N136" s="12">
        <f t="shared" si="35"/>
        <v>0</v>
      </c>
      <c r="O136" s="12">
        <f t="shared" si="35"/>
        <v>0</v>
      </c>
      <c r="P136" s="690">
        <f t="shared" si="32"/>
        <v>0.3472938331060817</v>
      </c>
      <c r="Q136" s="465">
        <f t="shared" si="21"/>
        <v>15.628222489773675</v>
      </c>
      <c r="R136" s="12"/>
      <c r="S136" s="1044">
        <f t="shared" si="22"/>
        <v>0.93769334938642046</v>
      </c>
      <c r="T136" s="1033">
        <f t="shared" si="23"/>
        <v>0.862306670355248</v>
      </c>
      <c r="U136" s="1034">
        <f t="shared" si="23"/>
        <v>38.803800165986161</v>
      </c>
      <c r="V136" s="1034">
        <f t="shared" si="23"/>
        <v>0</v>
      </c>
      <c r="W136" s="1035">
        <f t="shared" si="23"/>
        <v>2.3282280099591697</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4444.0310736329275</v>
      </c>
      <c r="L137" s="518">
        <f t="shared" si="34"/>
        <v>0.1</v>
      </c>
      <c r="M137" s="518">
        <f t="shared" si="28"/>
        <v>0.9</v>
      </c>
      <c r="N137" s="12">
        <f t="shared" si="35"/>
        <v>0</v>
      </c>
      <c r="O137" s="12">
        <f t="shared" si="35"/>
        <v>0</v>
      </c>
      <c r="P137" s="690">
        <f t="shared" si="32"/>
        <v>0.35552248589063423</v>
      </c>
      <c r="Q137" s="465">
        <f t="shared" si="21"/>
        <v>15.998511865078539</v>
      </c>
      <c r="R137" s="12"/>
      <c r="S137" s="1044">
        <f t="shared" si="22"/>
        <v>0.95991071190471233</v>
      </c>
      <c r="T137" s="1033">
        <f t="shared" si="23"/>
        <v>0.87053532313980053</v>
      </c>
      <c r="U137" s="1034">
        <f t="shared" si="23"/>
        <v>39.174089541291025</v>
      </c>
      <c r="V137" s="1034">
        <f t="shared" si="23"/>
        <v>0</v>
      </c>
      <c r="W137" s="1035">
        <f t="shared" si="23"/>
        <v>2.3504453724774614</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4549.242603331425</v>
      </c>
      <c r="L138" s="518">
        <f t="shared" si="34"/>
        <v>0.1</v>
      </c>
      <c r="M138" s="518">
        <f t="shared" si="28"/>
        <v>0.9</v>
      </c>
      <c r="N138" s="12">
        <f t="shared" si="35"/>
        <v>0</v>
      </c>
      <c r="O138" s="12">
        <f t="shared" si="35"/>
        <v>0</v>
      </c>
      <c r="P138" s="690">
        <f t="shared" si="32"/>
        <v>0.36393940826651405</v>
      </c>
      <c r="Q138" s="465">
        <f t="shared" si="21"/>
        <v>16.37727337199313</v>
      </c>
      <c r="R138" s="12"/>
      <c r="S138" s="1044">
        <f t="shared" si="22"/>
        <v>0.98263640231958782</v>
      </c>
      <c r="T138" s="1033">
        <f t="shared" si="23"/>
        <v>0.87895224551568041</v>
      </c>
      <c r="U138" s="1034">
        <f t="shared" si="23"/>
        <v>39.552851048205611</v>
      </c>
      <c r="V138" s="1034">
        <f t="shared" si="23"/>
        <v>0</v>
      </c>
      <c r="W138" s="1035">
        <f t="shared" si="23"/>
        <v>2.3731710628923368</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4658.452026609255</v>
      </c>
      <c r="L139" s="518">
        <f t="shared" si="34"/>
        <v>0.1</v>
      </c>
      <c r="M139" s="518">
        <f t="shared" si="28"/>
        <v>0.9</v>
      </c>
      <c r="N139" s="12">
        <f t="shared" si="35"/>
        <v>0</v>
      </c>
      <c r="O139" s="12">
        <f t="shared" si="35"/>
        <v>0</v>
      </c>
      <c r="P139" s="690">
        <f t="shared" si="32"/>
        <v>0.3726761621287405</v>
      </c>
      <c r="Q139" s="465">
        <f t="shared" si="21"/>
        <v>16.770427295793318</v>
      </c>
      <c r="R139" s="12"/>
      <c r="S139" s="1044">
        <f t="shared" si="22"/>
        <v>1.0062256377475991</v>
      </c>
      <c r="T139" s="1033">
        <f t="shared" si="23"/>
        <v>0.88768899937790691</v>
      </c>
      <c r="U139" s="1034">
        <f t="shared" si="23"/>
        <v>39.946004972005802</v>
      </c>
      <c r="V139" s="1034">
        <f t="shared" si="23"/>
        <v>0</v>
      </c>
      <c r="W139" s="1035">
        <f t="shared" si="23"/>
        <v>2.3967602983203484</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4763.4596201901322</v>
      </c>
      <c r="L140" s="518">
        <f t="shared" si="34"/>
        <v>0.1</v>
      </c>
      <c r="M140" s="518">
        <f t="shared" si="28"/>
        <v>0.9</v>
      </c>
      <c r="N140" s="12">
        <f t="shared" si="35"/>
        <v>0</v>
      </c>
      <c r="O140" s="12">
        <f t="shared" si="35"/>
        <v>0</v>
      </c>
      <c r="P140" s="690">
        <f t="shared" si="32"/>
        <v>0.38107676961521064</v>
      </c>
      <c r="Q140" s="465">
        <f t="shared" si="21"/>
        <v>17.148454632684476</v>
      </c>
      <c r="R140" s="12"/>
      <c r="S140" s="1044">
        <f t="shared" si="22"/>
        <v>1.0289072779610686</v>
      </c>
      <c r="T140" s="1033">
        <f t="shared" si="23"/>
        <v>0.896089606864377</v>
      </c>
      <c r="U140" s="1034">
        <f t="shared" si="23"/>
        <v>40.32403230889696</v>
      </c>
      <c r="V140" s="1034">
        <f t="shared" si="23"/>
        <v>0</v>
      </c>
      <c r="W140" s="1035">
        <f t="shared" si="23"/>
        <v>2.4194419385338177</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4871.4474578321506</v>
      </c>
      <c r="L141" s="518">
        <f t="shared" si="34"/>
        <v>0.1</v>
      </c>
      <c r="M141" s="518">
        <f t="shared" si="28"/>
        <v>0.9</v>
      </c>
      <c r="N141" s="12">
        <f t="shared" si="35"/>
        <v>0</v>
      </c>
      <c r="O141" s="12">
        <f t="shared" si="35"/>
        <v>0</v>
      </c>
      <c r="P141" s="690">
        <f t="shared" si="32"/>
        <v>0.38971579662657213</v>
      </c>
      <c r="Q141" s="465">
        <f t="shared" si="21"/>
        <v>17.537210848195745</v>
      </c>
      <c r="R141" s="12"/>
      <c r="S141" s="1044">
        <f t="shared" si="22"/>
        <v>1.0522326508917446</v>
      </c>
      <c r="T141" s="1033">
        <f t="shared" si="23"/>
        <v>0.90472863387573854</v>
      </c>
      <c r="U141" s="1034">
        <f t="shared" si="23"/>
        <v>40.712788524408225</v>
      </c>
      <c r="V141" s="1034">
        <f t="shared" si="23"/>
        <v>0</v>
      </c>
      <c r="W141" s="1035">
        <f t="shared" si="23"/>
        <v>2.4427673114644937</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4983.6817890261063</v>
      </c>
      <c r="L142" s="518">
        <f t="shared" si="34"/>
        <v>0.1</v>
      </c>
      <c r="M142" s="518">
        <f t="shared" si="28"/>
        <v>0.9</v>
      </c>
      <c r="N142" s="12">
        <f t="shared" si="35"/>
        <v>0</v>
      </c>
      <c r="O142" s="12">
        <f t="shared" si="35"/>
        <v>0</v>
      </c>
      <c r="P142" s="690">
        <f t="shared" si="32"/>
        <v>0.39869454312208857</v>
      </c>
      <c r="Q142" s="465">
        <f t="shared" si="21"/>
        <v>17.941254440493985</v>
      </c>
      <c r="R142" s="12"/>
      <c r="S142" s="1044">
        <f t="shared" si="22"/>
        <v>1.0764752664296389</v>
      </c>
      <c r="T142" s="1033">
        <f t="shared" si="23"/>
        <v>0.91370738037125498</v>
      </c>
      <c r="U142" s="1034">
        <f t="shared" si="23"/>
        <v>41.116832116706469</v>
      </c>
      <c r="V142" s="1034">
        <f t="shared" si="23"/>
        <v>0</v>
      </c>
      <c r="W142" s="1035">
        <f t="shared" si="23"/>
        <v>2.4670099270023877</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5100.203908457429</v>
      </c>
      <c r="L143" s="518">
        <f t="shared" si="34"/>
        <v>0.1</v>
      </c>
      <c r="M143" s="518">
        <f t="shared" si="28"/>
        <v>0.9</v>
      </c>
      <c r="N143" s="12">
        <f t="shared" si="35"/>
        <v>0</v>
      </c>
      <c r="O143" s="12">
        <f t="shared" si="35"/>
        <v>0</v>
      </c>
      <c r="P143" s="690">
        <f t="shared" si="32"/>
        <v>0.40801631267659438</v>
      </c>
      <c r="Q143" s="465">
        <f t="shared" si="21"/>
        <v>18.360734070446746</v>
      </c>
      <c r="R143" s="12"/>
      <c r="S143" s="1044">
        <f t="shared" si="22"/>
        <v>1.1016440442268047</v>
      </c>
      <c r="T143" s="1033">
        <f t="shared" si="23"/>
        <v>0.92302914992576079</v>
      </c>
      <c r="U143" s="1034">
        <f t="shared" si="23"/>
        <v>41.53631174665923</v>
      </c>
      <c r="V143" s="1034">
        <f t="shared" si="23"/>
        <v>0</v>
      </c>
      <c r="W143" s="1035">
        <f t="shared" si="23"/>
        <v>2.4921787047995538</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5217.0541904040911</v>
      </c>
      <c r="L144" s="518">
        <f t="shared" si="34"/>
        <v>0.1</v>
      </c>
      <c r="M144" s="518">
        <f t="shared" si="28"/>
        <v>0.9</v>
      </c>
      <c r="N144" s="12">
        <f t="shared" si="35"/>
        <v>0</v>
      </c>
      <c r="O144" s="12">
        <f t="shared" si="35"/>
        <v>0</v>
      </c>
      <c r="P144" s="690">
        <f t="shared" si="32"/>
        <v>0.41736433523232741</v>
      </c>
      <c r="Q144" s="465">
        <f t="shared" si="21"/>
        <v>18.781395085454729</v>
      </c>
      <c r="R144" s="12"/>
      <c r="S144" s="1044">
        <f t="shared" si="22"/>
        <v>1.1268837051272838</v>
      </c>
      <c r="T144" s="1033">
        <f t="shared" si="23"/>
        <v>0.93237717248149377</v>
      </c>
      <c r="U144" s="1034">
        <f t="shared" si="23"/>
        <v>41.956972761667217</v>
      </c>
      <c r="V144" s="1034">
        <f t="shared" si="23"/>
        <v>0</v>
      </c>
      <c r="W144" s="1035">
        <f t="shared" si="23"/>
        <v>2.5174183657000331</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5243.2755347882812</v>
      </c>
      <c r="L145" s="518">
        <f t="shared" si="34"/>
        <v>0.1</v>
      </c>
      <c r="M145" s="518">
        <f t="shared" si="28"/>
        <v>0.9</v>
      </c>
      <c r="N145" s="12">
        <f t="shared" si="35"/>
        <v>0</v>
      </c>
      <c r="O145" s="12">
        <f t="shared" si="35"/>
        <v>0</v>
      </c>
      <c r="P145" s="690">
        <f t="shared" si="32"/>
        <v>0.41946204278306259</v>
      </c>
      <c r="Q145" s="465">
        <f t="shared" si="21"/>
        <v>18.875791925237813</v>
      </c>
      <c r="R145" s="12"/>
      <c r="S145" s="1044">
        <f t="shared" si="22"/>
        <v>1.1325475155142688</v>
      </c>
      <c r="T145" s="1033">
        <f t="shared" si="23"/>
        <v>0.93447488003222889</v>
      </c>
      <c r="U145" s="1034">
        <f t="shared" si="23"/>
        <v>42.051369601450297</v>
      </c>
      <c r="V145" s="1034">
        <f t="shared" si="23"/>
        <v>0</v>
      </c>
      <c r="W145" s="1035">
        <f t="shared" si="23"/>
        <v>2.5230821760870179</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5258.9439907476335</v>
      </c>
      <c r="L146" s="518">
        <f t="shared" si="34"/>
        <v>0.1</v>
      </c>
      <c r="M146" s="518">
        <f t="shared" si="28"/>
        <v>0.9</v>
      </c>
      <c r="N146" s="12">
        <f t="shared" si="35"/>
        <v>0</v>
      </c>
      <c r="O146" s="12">
        <f t="shared" si="35"/>
        <v>0</v>
      </c>
      <c r="P146" s="690">
        <f t="shared" si="32"/>
        <v>0.42071551925981077</v>
      </c>
      <c r="Q146" s="465">
        <f t="shared" si="21"/>
        <v>18.93219836669148</v>
      </c>
      <c r="R146" s="12"/>
      <c r="S146" s="1044">
        <f t="shared" si="22"/>
        <v>1.1359319020014889</v>
      </c>
      <c r="T146" s="1033">
        <f t="shared" si="23"/>
        <v>0.93572835650897712</v>
      </c>
      <c r="U146" s="1034">
        <f t="shared" si="23"/>
        <v>42.107776042903964</v>
      </c>
      <c r="V146" s="1034">
        <f t="shared" si="23"/>
        <v>0</v>
      </c>
      <c r="W146" s="1035">
        <f t="shared" si="23"/>
        <v>2.526466562574238</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5275.1601987700142</v>
      </c>
      <c r="L147" s="518">
        <f t="shared" si="34"/>
        <v>0.1</v>
      </c>
      <c r="M147" s="518">
        <f t="shared" si="28"/>
        <v>0.9</v>
      </c>
      <c r="N147" s="12">
        <f t="shared" si="35"/>
        <v>0</v>
      </c>
      <c r="O147" s="12">
        <f t="shared" si="35"/>
        <v>0</v>
      </c>
      <c r="P147" s="690">
        <f t="shared" si="32"/>
        <v>0.42201281590160122</v>
      </c>
      <c r="Q147" s="465">
        <f t="shared" si="21"/>
        <v>18.990576715572054</v>
      </c>
      <c r="R147" s="12"/>
      <c r="S147" s="1044">
        <f t="shared" si="22"/>
        <v>1.139434602934323</v>
      </c>
      <c r="T147" s="1033">
        <f t="shared" si="23"/>
        <v>0.93702565315076758</v>
      </c>
      <c r="U147" s="1034">
        <f t="shared" si="23"/>
        <v>42.166154391784538</v>
      </c>
      <c r="V147" s="1034">
        <f t="shared" si="23"/>
        <v>0</v>
      </c>
      <c r="W147" s="1035">
        <f t="shared" si="23"/>
        <v>2.5299692635070721</v>
      </c>
    </row>
    <row r="148" spans="1:23" ht="1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5287.0208083773005</v>
      </c>
      <c r="L148" s="520">
        <f t="shared" si="34"/>
        <v>0.1</v>
      </c>
      <c r="M148" s="520">
        <f t="shared" si="28"/>
        <v>0.9</v>
      </c>
      <c r="N148" s="1045">
        <f t="shared" si="35"/>
        <v>0</v>
      </c>
      <c r="O148" s="1045">
        <f t="shared" si="35"/>
        <v>0</v>
      </c>
      <c r="P148" s="1046">
        <f t="shared" si="32"/>
        <v>0.42296166467018415</v>
      </c>
      <c r="Q148" s="988">
        <f t="shared" si="21"/>
        <v>19.03327491015828</v>
      </c>
      <c r="R148" s="1045"/>
      <c r="S148" s="1047">
        <f t="shared" si="22"/>
        <v>1.1419964946094969</v>
      </c>
      <c r="T148" s="1048">
        <f t="shared" si="23"/>
        <v>0.9379745019193505</v>
      </c>
      <c r="U148" s="1049">
        <f t="shared" si="23"/>
        <v>42.208852586370767</v>
      </c>
      <c r="V148" s="1049">
        <f t="shared" si="23"/>
        <v>0</v>
      </c>
      <c r="W148" s="1050">
        <f t="shared" si="23"/>
        <v>2.5325311551822463</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2562.5510023172546</v>
      </c>
      <c r="L151" s="518">
        <f>($L$154-$L$80)/($A$154-$A$80)+L150</f>
        <v>0.1</v>
      </c>
      <c r="M151" s="518">
        <f>($M$154-$M$80)/($A$154-$A$80)+M150</f>
        <v>0.9</v>
      </c>
      <c r="N151" s="12">
        <f t="shared" ref="N151:O166" si="44">N149</f>
        <v>0</v>
      </c>
      <c r="O151" s="12">
        <f t="shared" si="44"/>
        <v>0</v>
      </c>
      <c r="P151" s="690">
        <f t="shared" ref="P151:P182" si="45">L151*$D$5*K151/1000-N151</f>
        <v>0.20500408018538041</v>
      </c>
      <c r="Q151" s="465">
        <f t="shared" si="37"/>
        <v>9.2251836083421175</v>
      </c>
      <c r="R151" s="12"/>
      <c r="S151" s="1044">
        <f t="shared" si="38"/>
        <v>0.55351101650052703</v>
      </c>
      <c r="T151" s="1033">
        <f t="shared" si="39"/>
        <v>0.42961291719026418</v>
      </c>
      <c r="U151" s="1034">
        <f t="shared" si="39"/>
        <v>24.145627780809392</v>
      </c>
      <c r="V151" s="1034">
        <f t="shared" si="39"/>
        <v>0</v>
      </c>
      <c r="W151" s="1035">
        <f t="shared" si="39"/>
        <v>1.4487376668485634</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2582.9210795159115</v>
      </c>
      <c r="L152" s="518">
        <f>($L$154-$L$80)/($A$154-$A$80)+L151</f>
        <v>0.1</v>
      </c>
      <c r="M152" s="518">
        <f>($M$154-$M$80)/($A$154-$A$80)+M151</f>
        <v>0.9</v>
      </c>
      <c r="N152" s="12">
        <f t="shared" si="44"/>
        <v>0</v>
      </c>
      <c r="O152" s="12">
        <f t="shared" si="44"/>
        <v>0</v>
      </c>
      <c r="P152" s="690">
        <f t="shared" si="45"/>
        <v>0.20663368636127297</v>
      </c>
      <c r="Q152" s="465">
        <f t="shared" si="37"/>
        <v>9.2985158862572828</v>
      </c>
      <c r="R152" s="12"/>
      <c r="S152" s="1044">
        <f t="shared" si="38"/>
        <v>0.55791095317543693</v>
      </c>
      <c r="T152" s="1033">
        <f t="shared" si="39"/>
        <v>0.50215811410100653</v>
      </c>
      <c r="U152" s="1034">
        <f t="shared" si="39"/>
        <v>26.291170481291964</v>
      </c>
      <c r="V152" s="1034">
        <f t="shared" si="39"/>
        <v>0</v>
      </c>
      <c r="W152" s="1035">
        <f t="shared" si="39"/>
        <v>1.5774702288775178</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2953.515836548303</v>
      </c>
      <c r="L153" s="518">
        <f>($L$154-$L$80)/($A$154-$A$80)+L152</f>
        <v>0.1</v>
      </c>
      <c r="M153" s="518">
        <f>($M$154-$M$80)/($A$154-$A$80)+M152</f>
        <v>0.9</v>
      </c>
      <c r="N153" s="12">
        <f t="shared" si="44"/>
        <v>0</v>
      </c>
      <c r="O153" s="12">
        <f t="shared" si="44"/>
        <v>0</v>
      </c>
      <c r="P153" s="690">
        <f t="shared" si="45"/>
        <v>0.23628126692386428</v>
      </c>
      <c r="Q153" s="465">
        <f t="shared" si="37"/>
        <v>10.63265701157389</v>
      </c>
      <c r="R153" s="12"/>
      <c r="S153" s="1044">
        <f t="shared" si="38"/>
        <v>0.63795942069443345</v>
      </c>
      <c r="T153" s="1033">
        <f t="shared" si="39"/>
        <v>0.65611062967576417</v>
      </c>
      <c r="U153" s="1034">
        <f t="shared" si="39"/>
        <v>31.857363684031053</v>
      </c>
      <c r="V153" s="1034">
        <f t="shared" si="39"/>
        <v>0</v>
      </c>
      <c r="W153" s="1035">
        <f t="shared" si="39"/>
        <v>1.9114418210418633</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3151.9670848679066</v>
      </c>
      <c r="L154" s="518">
        <f>'Recycling - Case 2'!E31</f>
        <v>0.1</v>
      </c>
      <c r="M154" s="518">
        <f>'Recycling - Case 2'!F31</f>
        <v>0.9</v>
      </c>
      <c r="N154" s="12">
        <f t="shared" si="44"/>
        <v>0</v>
      </c>
      <c r="O154" s="12">
        <f t="shared" si="44"/>
        <v>0</v>
      </c>
      <c r="P154" s="690">
        <f t="shared" si="45"/>
        <v>0.25215736678943257</v>
      </c>
      <c r="Q154" s="465">
        <f t="shared" si="37"/>
        <v>11.347081505524464</v>
      </c>
      <c r="R154" s="12"/>
      <c r="S154" s="1044">
        <f t="shared" si="38"/>
        <v>0.68082489033146787</v>
      </c>
      <c r="T154" s="1033">
        <f t="shared" si="39"/>
        <v>0.76717020403859892</v>
      </c>
      <c r="U154" s="1034">
        <f t="shared" si="39"/>
        <v>34.522659181736948</v>
      </c>
      <c r="V154" s="1034">
        <f t="shared" si="39"/>
        <v>0</v>
      </c>
      <c r="W154" s="1035">
        <f t="shared" si="39"/>
        <v>2.0713595509042171</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3194.4586745285919</v>
      </c>
      <c r="L155" s="518">
        <f>L154</f>
        <v>0.1</v>
      </c>
      <c r="M155" s="518">
        <f>M154</f>
        <v>0.9</v>
      </c>
      <c r="N155" s="12">
        <f t="shared" si="44"/>
        <v>0</v>
      </c>
      <c r="O155" s="12">
        <f t="shared" si="44"/>
        <v>0</v>
      </c>
      <c r="P155" s="690">
        <f t="shared" si="45"/>
        <v>0.25555669396228742</v>
      </c>
      <c r="Q155" s="465">
        <f t="shared" si="37"/>
        <v>11.500051228302931</v>
      </c>
      <c r="R155" s="12"/>
      <c r="S155" s="1044">
        <f t="shared" si="38"/>
        <v>0.69000307369817582</v>
      </c>
      <c r="T155" s="1033">
        <f t="shared" si="39"/>
        <v>0.77056953121145377</v>
      </c>
      <c r="U155" s="1034">
        <f t="shared" si="39"/>
        <v>34.675628904515413</v>
      </c>
      <c r="V155" s="1034">
        <f t="shared" si="39"/>
        <v>0</v>
      </c>
      <c r="W155" s="1035">
        <f t="shared" si="39"/>
        <v>2.080537734270925</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3241.8415741695385</v>
      </c>
      <c r="L156" s="518">
        <f t="shared" ref="L156:M171" si="47">L155</f>
        <v>0.1</v>
      </c>
      <c r="M156" s="518">
        <f t="shared" si="47"/>
        <v>0.9</v>
      </c>
      <c r="N156" s="12">
        <f t="shared" si="44"/>
        <v>0</v>
      </c>
      <c r="O156" s="12">
        <f t="shared" si="44"/>
        <v>0</v>
      </c>
      <c r="P156" s="690">
        <f t="shared" si="45"/>
        <v>0.25934732593356313</v>
      </c>
      <c r="Q156" s="465">
        <f t="shared" si="37"/>
        <v>11.670629667010338</v>
      </c>
      <c r="R156" s="12"/>
      <c r="S156" s="1044">
        <f t="shared" si="38"/>
        <v>0.70023778002062032</v>
      </c>
      <c r="T156" s="1033">
        <f t="shared" si="39"/>
        <v>0.77436016318272949</v>
      </c>
      <c r="U156" s="1034">
        <f t="shared" si="39"/>
        <v>34.846207343222822</v>
      </c>
      <c r="V156" s="1034">
        <f t="shared" si="39"/>
        <v>0</v>
      </c>
      <c r="W156" s="1035">
        <f t="shared" si="39"/>
        <v>2.0907724405933692</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3295.5782878286518</v>
      </c>
      <c r="L157" s="518">
        <f t="shared" si="47"/>
        <v>0.1</v>
      </c>
      <c r="M157" s="518">
        <f t="shared" si="47"/>
        <v>0.9</v>
      </c>
      <c r="N157" s="12">
        <f t="shared" si="44"/>
        <v>0</v>
      </c>
      <c r="O157" s="12">
        <f t="shared" si="44"/>
        <v>0</v>
      </c>
      <c r="P157" s="690">
        <f t="shared" si="45"/>
        <v>0.26364626302629224</v>
      </c>
      <c r="Q157" s="465">
        <f t="shared" si="37"/>
        <v>11.864081836183146</v>
      </c>
      <c r="R157" s="12"/>
      <c r="S157" s="1044">
        <f t="shared" si="38"/>
        <v>0.71184491017098883</v>
      </c>
      <c r="T157" s="1033">
        <f t="shared" si="39"/>
        <v>0.77865910027545859</v>
      </c>
      <c r="U157" s="1034">
        <f t="shared" si="39"/>
        <v>35.03965951239563</v>
      </c>
      <c r="V157" s="1034">
        <f t="shared" si="39"/>
        <v>0</v>
      </c>
      <c r="W157" s="1035">
        <f t="shared" si="39"/>
        <v>2.102379570743738</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3352.1643896886117</v>
      </c>
      <c r="L158" s="518">
        <f t="shared" si="47"/>
        <v>0.1</v>
      </c>
      <c r="M158" s="518">
        <f t="shared" si="47"/>
        <v>0.9</v>
      </c>
      <c r="N158" s="12">
        <f t="shared" si="44"/>
        <v>0</v>
      </c>
      <c r="O158" s="12">
        <f t="shared" si="44"/>
        <v>0</v>
      </c>
      <c r="P158" s="690">
        <f t="shared" si="45"/>
        <v>0.268173151175089</v>
      </c>
      <c r="Q158" s="465">
        <f t="shared" si="37"/>
        <v>12.067791802879002</v>
      </c>
      <c r="R158" s="12"/>
      <c r="S158" s="1044">
        <f t="shared" si="38"/>
        <v>0.72406750817274013</v>
      </c>
      <c r="T158" s="1033">
        <f t="shared" si="39"/>
        <v>0.78318598842425535</v>
      </c>
      <c r="U158" s="1034">
        <f t="shared" si="39"/>
        <v>35.243369479091484</v>
      </c>
      <c r="V158" s="1034">
        <f t="shared" si="39"/>
        <v>0</v>
      </c>
      <c r="W158" s="1035">
        <f t="shared" si="39"/>
        <v>2.1146021687454892</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3413.4690396132614</v>
      </c>
      <c r="L159" s="518">
        <f t="shared" si="47"/>
        <v>0.1</v>
      </c>
      <c r="M159" s="518">
        <f t="shared" si="47"/>
        <v>0.9</v>
      </c>
      <c r="N159" s="12">
        <f t="shared" si="44"/>
        <v>0</v>
      </c>
      <c r="O159" s="12">
        <f t="shared" si="44"/>
        <v>0</v>
      </c>
      <c r="P159" s="690">
        <f t="shared" si="45"/>
        <v>0.27307752316906098</v>
      </c>
      <c r="Q159" s="465">
        <f t="shared" si="37"/>
        <v>12.288488542607741</v>
      </c>
      <c r="R159" s="12"/>
      <c r="S159" s="1044">
        <f t="shared" si="38"/>
        <v>0.73730931255646437</v>
      </c>
      <c r="T159" s="1033">
        <f t="shared" si="39"/>
        <v>0.78809036041822733</v>
      </c>
      <c r="U159" s="1034">
        <f t="shared" si="39"/>
        <v>35.464066218820221</v>
      </c>
      <c r="V159" s="1034">
        <f t="shared" si="39"/>
        <v>0</v>
      </c>
      <c r="W159" s="1035">
        <f t="shared" si="39"/>
        <v>2.1278439731292136</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3474.2495868371143</v>
      </c>
      <c r="L160" s="518">
        <f t="shared" si="47"/>
        <v>0.1</v>
      </c>
      <c r="M160" s="518">
        <f t="shared" si="47"/>
        <v>0.9</v>
      </c>
      <c r="N160" s="12">
        <f t="shared" si="44"/>
        <v>0</v>
      </c>
      <c r="O160" s="12">
        <f t="shared" si="44"/>
        <v>0</v>
      </c>
      <c r="P160" s="690">
        <f t="shared" si="45"/>
        <v>0.27793996694696921</v>
      </c>
      <c r="Q160" s="465">
        <f t="shared" si="37"/>
        <v>12.507298512613612</v>
      </c>
      <c r="R160" s="12"/>
      <c r="S160" s="1044">
        <f t="shared" si="38"/>
        <v>0.75043791075681665</v>
      </c>
      <c r="T160" s="1033">
        <f t="shared" si="39"/>
        <v>0.79295280419613556</v>
      </c>
      <c r="U160" s="1034">
        <f t="shared" si="39"/>
        <v>35.6828761888261</v>
      </c>
      <c r="V160" s="1034">
        <f t="shared" si="39"/>
        <v>0</v>
      </c>
      <c r="W160" s="1035">
        <f t="shared" si="39"/>
        <v>2.1409725713295655</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3539.5837004803343</v>
      </c>
      <c r="L161" s="518">
        <f t="shared" si="47"/>
        <v>0.1</v>
      </c>
      <c r="M161" s="518">
        <f t="shared" si="47"/>
        <v>0.9</v>
      </c>
      <c r="N161" s="12">
        <f t="shared" si="44"/>
        <v>0</v>
      </c>
      <c r="O161" s="12">
        <f t="shared" si="44"/>
        <v>0</v>
      </c>
      <c r="P161" s="690">
        <f t="shared" si="45"/>
        <v>0.28316669603842676</v>
      </c>
      <c r="Q161" s="465">
        <f t="shared" si="37"/>
        <v>12.742501321729204</v>
      </c>
      <c r="R161" s="12"/>
      <c r="S161" s="1044">
        <f t="shared" si="38"/>
        <v>0.76455007930375218</v>
      </c>
      <c r="T161" s="1033">
        <f t="shared" si="39"/>
        <v>0.79817953328759317</v>
      </c>
      <c r="U161" s="1034">
        <f t="shared" si="39"/>
        <v>35.918078997941691</v>
      </c>
      <c r="V161" s="1034">
        <f t="shared" si="39"/>
        <v>0</v>
      </c>
      <c r="W161" s="1035">
        <f t="shared" si="39"/>
        <v>2.1550847398765014</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3604.9206439543955</v>
      </c>
      <c r="L162" s="518">
        <f t="shared" si="47"/>
        <v>0.1</v>
      </c>
      <c r="M162" s="518">
        <f t="shared" si="47"/>
        <v>0.9</v>
      </c>
      <c r="N162" s="12">
        <f t="shared" si="44"/>
        <v>0</v>
      </c>
      <c r="O162" s="12">
        <f t="shared" si="44"/>
        <v>0</v>
      </c>
      <c r="P162" s="690">
        <f t="shared" si="45"/>
        <v>0.28839365151635166</v>
      </c>
      <c r="Q162" s="465">
        <f t="shared" si="37"/>
        <v>12.977714318235822</v>
      </c>
      <c r="R162" s="12"/>
      <c r="S162" s="1044">
        <f t="shared" si="38"/>
        <v>0.77866285909414945</v>
      </c>
      <c r="T162" s="1033">
        <f t="shared" si="39"/>
        <v>0.80340648876551801</v>
      </c>
      <c r="U162" s="1034">
        <f t="shared" si="39"/>
        <v>36.15329199444831</v>
      </c>
      <c r="V162" s="1034">
        <f t="shared" si="39"/>
        <v>0</v>
      </c>
      <c r="W162" s="1035">
        <f t="shared" si="39"/>
        <v>2.1691975196668984</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3681.3674299410918</v>
      </c>
      <c r="L163" s="518">
        <f t="shared" si="47"/>
        <v>0.1</v>
      </c>
      <c r="M163" s="518">
        <f t="shared" si="47"/>
        <v>0.9</v>
      </c>
      <c r="N163" s="12">
        <f t="shared" si="44"/>
        <v>0</v>
      </c>
      <c r="O163" s="12">
        <f t="shared" si="44"/>
        <v>0</v>
      </c>
      <c r="P163" s="690">
        <f t="shared" si="45"/>
        <v>0.29450939439528739</v>
      </c>
      <c r="Q163" s="465">
        <f t="shared" si="37"/>
        <v>13.252922747787931</v>
      </c>
      <c r="R163" s="12"/>
      <c r="S163" s="1044">
        <f t="shared" si="38"/>
        <v>0.7951753648672758</v>
      </c>
      <c r="T163" s="1033">
        <f t="shared" si="39"/>
        <v>0.80952223164445369</v>
      </c>
      <c r="U163" s="1034">
        <f t="shared" si="39"/>
        <v>36.428500424000418</v>
      </c>
      <c r="V163" s="1034">
        <f t="shared" si="39"/>
        <v>0</v>
      </c>
      <c r="W163" s="1035">
        <f t="shared" si="39"/>
        <v>2.185710025440025</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3762.1138340559442</v>
      </c>
      <c r="L164" s="518">
        <f t="shared" si="47"/>
        <v>0.1</v>
      </c>
      <c r="M164" s="518">
        <f t="shared" si="47"/>
        <v>0.9</v>
      </c>
      <c r="N164" s="12">
        <f t="shared" si="44"/>
        <v>0</v>
      </c>
      <c r="O164" s="12">
        <f t="shared" si="44"/>
        <v>0</v>
      </c>
      <c r="P164" s="690">
        <f t="shared" si="45"/>
        <v>0.30096910672447558</v>
      </c>
      <c r="Q164" s="465">
        <f t="shared" si="37"/>
        <v>13.543609802601399</v>
      </c>
      <c r="R164" s="12"/>
      <c r="S164" s="1044">
        <f t="shared" si="38"/>
        <v>0.81261658815608395</v>
      </c>
      <c r="T164" s="1033">
        <f t="shared" si="39"/>
        <v>0.81598194397364199</v>
      </c>
      <c r="U164" s="1034">
        <f t="shared" si="39"/>
        <v>36.719187478813879</v>
      </c>
      <c r="V164" s="1034">
        <f t="shared" si="39"/>
        <v>0</v>
      </c>
      <c r="W164" s="1035">
        <f t="shared" si="39"/>
        <v>2.2031512487288332</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3846.8426928164727</v>
      </c>
      <c r="L165" s="518">
        <f t="shared" si="47"/>
        <v>0.1</v>
      </c>
      <c r="M165" s="518">
        <f t="shared" si="47"/>
        <v>0.9</v>
      </c>
      <c r="N165" s="12">
        <f t="shared" si="44"/>
        <v>0</v>
      </c>
      <c r="O165" s="12">
        <f t="shared" si="44"/>
        <v>0</v>
      </c>
      <c r="P165" s="690">
        <f t="shared" si="45"/>
        <v>0.30774741542531786</v>
      </c>
      <c r="Q165" s="465">
        <f t="shared" si="37"/>
        <v>13.848633694139302</v>
      </c>
      <c r="R165" s="12"/>
      <c r="S165" s="1044">
        <f t="shared" si="38"/>
        <v>0.83091802164835804</v>
      </c>
      <c r="T165" s="1033">
        <f t="shared" si="39"/>
        <v>0.82276025267448416</v>
      </c>
      <c r="U165" s="1034">
        <f t="shared" si="39"/>
        <v>37.024211370351786</v>
      </c>
      <c r="V165" s="1034">
        <f t="shared" si="39"/>
        <v>0</v>
      </c>
      <c r="W165" s="1035">
        <f t="shared" si="39"/>
        <v>2.2214526822211074</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3942.6229713368125</v>
      </c>
      <c r="L166" s="518">
        <f t="shared" si="47"/>
        <v>0.1</v>
      </c>
      <c r="M166" s="518">
        <f t="shared" si="47"/>
        <v>0.9</v>
      </c>
      <c r="N166" s="12">
        <f t="shared" si="44"/>
        <v>0</v>
      </c>
      <c r="O166" s="12">
        <f t="shared" si="44"/>
        <v>0</v>
      </c>
      <c r="P166" s="690">
        <f t="shared" si="45"/>
        <v>0.31540983770694503</v>
      </c>
      <c r="Q166" s="465">
        <f t="shared" si="37"/>
        <v>14.193442696812525</v>
      </c>
      <c r="R166" s="12"/>
      <c r="S166" s="1044">
        <f t="shared" si="38"/>
        <v>0.85160656180875149</v>
      </c>
      <c r="T166" s="1033">
        <f t="shared" si="39"/>
        <v>0.83042267495611144</v>
      </c>
      <c r="U166" s="1034">
        <f t="shared" si="39"/>
        <v>37.369020373025009</v>
      </c>
      <c r="V166" s="1034">
        <f t="shared" si="39"/>
        <v>0</v>
      </c>
      <c r="W166" s="1035">
        <f t="shared" si="39"/>
        <v>2.2421412223815005</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4033.9571187491515</v>
      </c>
      <c r="L167" s="518">
        <f t="shared" si="47"/>
        <v>0.1</v>
      </c>
      <c r="M167" s="518">
        <f t="shared" si="47"/>
        <v>0.9</v>
      </c>
      <c r="N167" s="12">
        <f t="shared" ref="N167:O182" si="48">N165</f>
        <v>0</v>
      </c>
      <c r="O167" s="12">
        <f t="shared" si="48"/>
        <v>0</v>
      </c>
      <c r="P167" s="690">
        <f t="shared" si="45"/>
        <v>0.32271656949993216</v>
      </c>
      <c r="Q167" s="465">
        <f t="shared" si="37"/>
        <v>14.522245627496947</v>
      </c>
      <c r="R167" s="12"/>
      <c r="S167" s="1044">
        <f t="shared" si="38"/>
        <v>0.87133473764981673</v>
      </c>
      <c r="T167" s="1033">
        <f t="shared" si="39"/>
        <v>0.83772940674909857</v>
      </c>
      <c r="U167" s="1034">
        <f t="shared" si="39"/>
        <v>37.697823303709427</v>
      </c>
      <c r="V167" s="1034">
        <f t="shared" si="39"/>
        <v>0</v>
      </c>
      <c r="W167" s="1035">
        <f t="shared" si="39"/>
        <v>2.2618693982225659</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4131.3567455738785</v>
      </c>
      <c r="L168" s="518">
        <f t="shared" si="47"/>
        <v>0.1</v>
      </c>
      <c r="M168" s="518">
        <f t="shared" si="47"/>
        <v>0.9</v>
      </c>
      <c r="N168" s="12">
        <f t="shared" si="48"/>
        <v>0</v>
      </c>
      <c r="O168" s="12">
        <f t="shared" si="48"/>
        <v>0</v>
      </c>
      <c r="P168" s="690">
        <f t="shared" si="45"/>
        <v>0.33050853964591032</v>
      </c>
      <c r="Q168" s="465">
        <f t="shared" si="37"/>
        <v>14.872884284065963</v>
      </c>
      <c r="R168" s="12"/>
      <c r="S168" s="1044">
        <f t="shared" si="38"/>
        <v>0.89237305704395775</v>
      </c>
      <c r="T168" s="1033">
        <f t="shared" si="39"/>
        <v>0.84552137689507667</v>
      </c>
      <c r="U168" s="1034">
        <f t="shared" si="39"/>
        <v>38.048461960278445</v>
      </c>
      <c r="V168" s="1034">
        <f t="shared" si="39"/>
        <v>0</v>
      </c>
      <c r="W168" s="1035">
        <f t="shared" si="39"/>
        <v>2.2829077176167067</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4238.9971068567629</v>
      </c>
      <c r="L169" s="518">
        <f t="shared" si="47"/>
        <v>0.1</v>
      </c>
      <c r="M169" s="518">
        <f t="shared" si="47"/>
        <v>0.9</v>
      </c>
      <c r="N169" s="12">
        <f t="shared" si="48"/>
        <v>0</v>
      </c>
      <c r="O169" s="12">
        <f t="shared" si="48"/>
        <v>0</v>
      </c>
      <c r="P169" s="690">
        <f t="shared" si="45"/>
        <v>0.33911976854854109</v>
      </c>
      <c r="Q169" s="465">
        <f t="shared" si="37"/>
        <v>15.260389584684345</v>
      </c>
      <c r="R169" s="12"/>
      <c r="S169" s="1044">
        <f t="shared" si="38"/>
        <v>0.91562337508106073</v>
      </c>
      <c r="T169" s="1033">
        <f t="shared" si="39"/>
        <v>0.85413260579770744</v>
      </c>
      <c r="U169" s="1034">
        <f t="shared" si="39"/>
        <v>38.435967260896831</v>
      </c>
      <c r="V169" s="1034">
        <f t="shared" si="39"/>
        <v>0</v>
      </c>
      <c r="W169" s="1035">
        <f t="shared" si="39"/>
        <v>2.3061580356538096</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4341.1729138260207</v>
      </c>
      <c r="L170" s="518">
        <f t="shared" si="47"/>
        <v>0.1</v>
      </c>
      <c r="M170" s="518">
        <f t="shared" si="47"/>
        <v>0.9</v>
      </c>
      <c r="N170" s="12">
        <f t="shared" si="48"/>
        <v>0</v>
      </c>
      <c r="O170" s="12">
        <f t="shared" si="48"/>
        <v>0</v>
      </c>
      <c r="P170" s="690">
        <f t="shared" si="45"/>
        <v>0.3472938331060817</v>
      </c>
      <c r="Q170" s="465">
        <f t="shared" si="37"/>
        <v>15.628222489773675</v>
      </c>
      <c r="R170" s="12"/>
      <c r="S170" s="1044">
        <f t="shared" si="38"/>
        <v>0.93769334938642046</v>
      </c>
      <c r="T170" s="1033">
        <f t="shared" si="39"/>
        <v>0.862306670355248</v>
      </c>
      <c r="U170" s="1034">
        <f t="shared" si="39"/>
        <v>38.803800165986161</v>
      </c>
      <c r="V170" s="1034">
        <f t="shared" si="39"/>
        <v>0</v>
      </c>
      <c r="W170" s="1035">
        <f t="shared" si="39"/>
        <v>2.3282280099591697</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4444.0310736329275</v>
      </c>
      <c r="L171" s="518">
        <f t="shared" si="47"/>
        <v>0.1</v>
      </c>
      <c r="M171" s="518">
        <f t="shared" si="47"/>
        <v>0.9</v>
      </c>
      <c r="N171" s="12">
        <f t="shared" si="48"/>
        <v>0</v>
      </c>
      <c r="O171" s="12">
        <f t="shared" si="48"/>
        <v>0</v>
      </c>
      <c r="P171" s="690">
        <f t="shared" si="45"/>
        <v>0.35552248589063423</v>
      </c>
      <c r="Q171" s="465">
        <f t="shared" si="37"/>
        <v>15.998511865078539</v>
      </c>
      <c r="R171" s="12"/>
      <c r="S171" s="1044">
        <f t="shared" si="38"/>
        <v>0.95991071190471233</v>
      </c>
      <c r="T171" s="1033">
        <f t="shared" si="39"/>
        <v>0.87053532313980053</v>
      </c>
      <c r="U171" s="1034">
        <f t="shared" si="39"/>
        <v>39.174089541291025</v>
      </c>
      <c r="V171" s="1034">
        <f t="shared" si="39"/>
        <v>0</v>
      </c>
      <c r="W171" s="1035">
        <f t="shared" si="39"/>
        <v>2.3504453724774614</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4549.242603331425</v>
      </c>
      <c r="L172" s="518">
        <f t="shared" ref="L172:M182" si="50">L171</f>
        <v>0.1</v>
      </c>
      <c r="M172" s="518">
        <f t="shared" si="50"/>
        <v>0.9</v>
      </c>
      <c r="N172" s="12">
        <f t="shared" si="48"/>
        <v>0</v>
      </c>
      <c r="O172" s="12">
        <f t="shared" si="48"/>
        <v>0</v>
      </c>
      <c r="P172" s="690">
        <f t="shared" si="45"/>
        <v>0.36393940826651405</v>
      </c>
      <c r="Q172" s="465">
        <f t="shared" si="37"/>
        <v>16.37727337199313</v>
      </c>
      <c r="R172" s="12"/>
      <c r="S172" s="1044">
        <f t="shared" si="38"/>
        <v>0.98263640231958782</v>
      </c>
      <c r="T172" s="1033">
        <f t="shared" si="39"/>
        <v>0.87895224551568041</v>
      </c>
      <c r="U172" s="1034">
        <f t="shared" si="39"/>
        <v>39.552851048205611</v>
      </c>
      <c r="V172" s="1034">
        <f t="shared" si="39"/>
        <v>0</v>
      </c>
      <c r="W172" s="1035">
        <f t="shared" si="39"/>
        <v>2.3731710628923368</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4658.452026609255</v>
      </c>
      <c r="L173" s="518">
        <f t="shared" si="50"/>
        <v>0.1</v>
      </c>
      <c r="M173" s="518">
        <f t="shared" si="50"/>
        <v>0.9</v>
      </c>
      <c r="N173" s="12">
        <f t="shared" si="48"/>
        <v>0</v>
      </c>
      <c r="O173" s="12">
        <f t="shared" si="48"/>
        <v>0</v>
      </c>
      <c r="P173" s="690">
        <f t="shared" si="45"/>
        <v>0.3726761621287405</v>
      </c>
      <c r="Q173" s="465">
        <f t="shared" si="37"/>
        <v>16.770427295793318</v>
      </c>
      <c r="R173" s="12"/>
      <c r="S173" s="1044">
        <f t="shared" si="38"/>
        <v>1.0062256377475991</v>
      </c>
      <c r="T173" s="1033">
        <f t="shared" si="39"/>
        <v>0.88768899937790691</v>
      </c>
      <c r="U173" s="1034">
        <f t="shared" si="39"/>
        <v>39.946004972005802</v>
      </c>
      <c r="V173" s="1034">
        <f t="shared" si="39"/>
        <v>0</v>
      </c>
      <c r="W173" s="1035">
        <f t="shared" si="39"/>
        <v>2.3967602983203484</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4763.4596201901322</v>
      </c>
      <c r="L174" s="518">
        <f t="shared" si="50"/>
        <v>0.1</v>
      </c>
      <c r="M174" s="518">
        <f t="shared" si="50"/>
        <v>0.9</v>
      </c>
      <c r="N174" s="12">
        <f t="shared" si="48"/>
        <v>0</v>
      </c>
      <c r="O174" s="12">
        <f t="shared" si="48"/>
        <v>0</v>
      </c>
      <c r="P174" s="690">
        <f t="shared" si="45"/>
        <v>0.38107676961521064</v>
      </c>
      <c r="Q174" s="465">
        <f t="shared" si="37"/>
        <v>17.148454632684476</v>
      </c>
      <c r="R174" s="12"/>
      <c r="S174" s="1044">
        <f t="shared" si="38"/>
        <v>1.0289072779610686</v>
      </c>
      <c r="T174" s="1033">
        <f t="shared" si="39"/>
        <v>0.896089606864377</v>
      </c>
      <c r="U174" s="1034">
        <f t="shared" si="39"/>
        <v>40.32403230889696</v>
      </c>
      <c r="V174" s="1034">
        <f t="shared" si="39"/>
        <v>0</v>
      </c>
      <c r="W174" s="1035">
        <f t="shared" si="39"/>
        <v>2.4194419385338177</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4871.4474578321506</v>
      </c>
      <c r="L175" s="518">
        <f t="shared" si="50"/>
        <v>0.1</v>
      </c>
      <c r="M175" s="518">
        <f t="shared" si="50"/>
        <v>0.9</v>
      </c>
      <c r="N175" s="12">
        <f t="shared" si="48"/>
        <v>0</v>
      </c>
      <c r="O175" s="12">
        <f t="shared" si="48"/>
        <v>0</v>
      </c>
      <c r="P175" s="690">
        <f t="shared" si="45"/>
        <v>0.38971579662657213</v>
      </c>
      <c r="Q175" s="465">
        <f t="shared" si="37"/>
        <v>17.537210848195745</v>
      </c>
      <c r="R175" s="12"/>
      <c r="S175" s="1044">
        <f t="shared" si="38"/>
        <v>1.0522326508917446</v>
      </c>
      <c r="T175" s="1033">
        <f t="shared" si="39"/>
        <v>0.90472863387573854</v>
      </c>
      <c r="U175" s="1034">
        <f t="shared" si="39"/>
        <v>40.712788524408225</v>
      </c>
      <c r="V175" s="1034">
        <f t="shared" si="39"/>
        <v>0</v>
      </c>
      <c r="W175" s="1035">
        <f t="shared" si="39"/>
        <v>2.4427673114644937</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4983.6817890261063</v>
      </c>
      <c r="L176" s="518">
        <f t="shared" si="50"/>
        <v>0.1</v>
      </c>
      <c r="M176" s="518">
        <f t="shared" si="50"/>
        <v>0.9</v>
      </c>
      <c r="N176" s="12">
        <f t="shared" si="48"/>
        <v>0</v>
      </c>
      <c r="O176" s="12">
        <f t="shared" si="48"/>
        <v>0</v>
      </c>
      <c r="P176" s="690">
        <f t="shared" si="45"/>
        <v>0.39869454312208857</v>
      </c>
      <c r="Q176" s="465">
        <f t="shared" si="37"/>
        <v>17.941254440493985</v>
      </c>
      <c r="R176" s="12"/>
      <c r="S176" s="1044">
        <f t="shared" si="38"/>
        <v>1.0764752664296389</v>
      </c>
      <c r="T176" s="1033">
        <f t="shared" si="39"/>
        <v>0.91370738037125498</v>
      </c>
      <c r="U176" s="1034">
        <f t="shared" si="39"/>
        <v>41.116832116706469</v>
      </c>
      <c r="V176" s="1034">
        <f t="shared" si="39"/>
        <v>0</v>
      </c>
      <c r="W176" s="1035">
        <f t="shared" si="39"/>
        <v>2.4670099270023877</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5100.203908457429</v>
      </c>
      <c r="L177" s="518">
        <f t="shared" si="50"/>
        <v>0.1</v>
      </c>
      <c r="M177" s="518">
        <f t="shared" si="50"/>
        <v>0.9</v>
      </c>
      <c r="N177" s="12">
        <f t="shared" si="48"/>
        <v>0</v>
      </c>
      <c r="O177" s="12">
        <f t="shared" si="48"/>
        <v>0</v>
      </c>
      <c r="P177" s="690">
        <f t="shared" si="45"/>
        <v>0.40801631267659438</v>
      </c>
      <c r="Q177" s="465">
        <f t="shared" si="37"/>
        <v>18.360734070446746</v>
      </c>
      <c r="R177" s="12"/>
      <c r="S177" s="1044">
        <f t="shared" si="38"/>
        <v>1.1016440442268047</v>
      </c>
      <c r="T177" s="1033">
        <f t="shared" si="39"/>
        <v>0.92302914992576079</v>
      </c>
      <c r="U177" s="1034">
        <f t="shared" si="39"/>
        <v>41.53631174665923</v>
      </c>
      <c r="V177" s="1034">
        <f t="shared" si="39"/>
        <v>0</v>
      </c>
      <c r="W177" s="1035">
        <f t="shared" si="39"/>
        <v>2.4921787047995538</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5217.0541904040911</v>
      </c>
      <c r="L178" s="518">
        <f t="shared" si="50"/>
        <v>0.1</v>
      </c>
      <c r="M178" s="518">
        <f t="shared" si="50"/>
        <v>0.9</v>
      </c>
      <c r="N178" s="12">
        <f t="shared" si="48"/>
        <v>0</v>
      </c>
      <c r="O178" s="12">
        <f t="shared" si="48"/>
        <v>0</v>
      </c>
      <c r="P178" s="690">
        <f t="shared" si="45"/>
        <v>0.41736433523232741</v>
      </c>
      <c r="Q178" s="465">
        <f t="shared" si="37"/>
        <v>18.781395085454729</v>
      </c>
      <c r="R178" s="12"/>
      <c r="S178" s="1044">
        <f t="shared" si="38"/>
        <v>1.1268837051272838</v>
      </c>
      <c r="T178" s="1033">
        <f t="shared" si="39"/>
        <v>0.93237717248149377</v>
      </c>
      <c r="U178" s="1034">
        <f t="shared" si="39"/>
        <v>41.956972761667217</v>
      </c>
      <c r="V178" s="1034">
        <f t="shared" si="39"/>
        <v>0</v>
      </c>
      <c r="W178" s="1035">
        <f t="shared" si="39"/>
        <v>2.5174183657000331</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5243.2755347882812</v>
      </c>
      <c r="L179" s="518">
        <f t="shared" si="50"/>
        <v>0.1</v>
      </c>
      <c r="M179" s="518">
        <f t="shared" si="50"/>
        <v>0.9</v>
      </c>
      <c r="N179" s="12">
        <f t="shared" si="48"/>
        <v>0</v>
      </c>
      <c r="O179" s="12">
        <f t="shared" si="48"/>
        <v>0</v>
      </c>
      <c r="P179" s="690">
        <f t="shared" si="45"/>
        <v>0.41946204278306259</v>
      </c>
      <c r="Q179" s="465">
        <f t="shared" si="37"/>
        <v>18.875791925237813</v>
      </c>
      <c r="R179" s="12"/>
      <c r="S179" s="1044">
        <f t="shared" si="38"/>
        <v>1.1325475155142688</v>
      </c>
      <c r="T179" s="1033">
        <f t="shared" si="39"/>
        <v>0.93447488003222889</v>
      </c>
      <c r="U179" s="1034">
        <f t="shared" si="39"/>
        <v>42.051369601450297</v>
      </c>
      <c r="V179" s="1034">
        <f t="shared" si="39"/>
        <v>0</v>
      </c>
      <c r="W179" s="1035">
        <f t="shared" si="39"/>
        <v>2.5230821760870179</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5258.9439907476335</v>
      </c>
      <c r="L180" s="518">
        <f t="shared" si="50"/>
        <v>0.1</v>
      </c>
      <c r="M180" s="518">
        <f t="shared" si="50"/>
        <v>0.9</v>
      </c>
      <c r="N180" s="12">
        <f t="shared" si="48"/>
        <v>0</v>
      </c>
      <c r="O180" s="12">
        <f t="shared" si="48"/>
        <v>0</v>
      </c>
      <c r="P180" s="690">
        <f t="shared" si="45"/>
        <v>0.42071551925981077</v>
      </c>
      <c r="Q180" s="465">
        <f t="shared" si="37"/>
        <v>18.93219836669148</v>
      </c>
      <c r="R180" s="12"/>
      <c r="S180" s="1044">
        <f t="shared" si="38"/>
        <v>1.1359319020014889</v>
      </c>
      <c r="T180" s="1033">
        <f t="shared" si="39"/>
        <v>0.93572835650897712</v>
      </c>
      <c r="U180" s="1034">
        <f t="shared" si="39"/>
        <v>42.107776042903964</v>
      </c>
      <c r="V180" s="1034">
        <f t="shared" si="39"/>
        <v>0</v>
      </c>
      <c r="W180" s="1035">
        <f t="shared" si="39"/>
        <v>2.526466562574238</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5275.1601987700142</v>
      </c>
      <c r="L181" s="518">
        <f t="shared" si="50"/>
        <v>0.1</v>
      </c>
      <c r="M181" s="518">
        <f t="shared" si="50"/>
        <v>0.9</v>
      </c>
      <c r="N181" s="12">
        <f t="shared" si="48"/>
        <v>0</v>
      </c>
      <c r="O181" s="12">
        <f t="shared" si="48"/>
        <v>0</v>
      </c>
      <c r="P181" s="690">
        <f t="shared" si="45"/>
        <v>0.42201281590160122</v>
      </c>
      <c r="Q181" s="465">
        <f t="shared" si="37"/>
        <v>18.990576715572054</v>
      </c>
      <c r="R181" s="12"/>
      <c r="S181" s="1044">
        <f t="shared" si="38"/>
        <v>1.139434602934323</v>
      </c>
      <c r="T181" s="1033">
        <f t="shared" si="39"/>
        <v>0.93702565315076758</v>
      </c>
      <c r="U181" s="1034">
        <f t="shared" si="39"/>
        <v>42.166154391784538</v>
      </c>
      <c r="V181" s="1034">
        <f t="shared" si="39"/>
        <v>0</v>
      </c>
      <c r="W181" s="1035">
        <f t="shared" si="39"/>
        <v>2.5299692635070721</v>
      </c>
    </row>
    <row r="182" spans="1:23" ht="1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5287.0208083773005</v>
      </c>
      <c r="L182" s="520">
        <f t="shared" si="50"/>
        <v>0.1</v>
      </c>
      <c r="M182" s="520">
        <f t="shared" si="50"/>
        <v>0.9</v>
      </c>
      <c r="N182" s="1045">
        <f t="shared" si="48"/>
        <v>0</v>
      </c>
      <c r="O182" s="1045">
        <f t="shared" si="48"/>
        <v>0</v>
      </c>
      <c r="P182" s="1046">
        <f t="shared" si="45"/>
        <v>0.42296166467018415</v>
      </c>
      <c r="Q182" s="988">
        <f t="shared" si="37"/>
        <v>19.03327491015828</v>
      </c>
      <c r="R182" s="1045"/>
      <c r="S182" s="1047">
        <f t="shared" si="38"/>
        <v>1.1419964946094969</v>
      </c>
      <c r="T182" s="1048">
        <f t="shared" si="39"/>
        <v>0.9379745019193505</v>
      </c>
      <c r="U182" s="1049">
        <f t="shared" si="39"/>
        <v>42.208852586370767</v>
      </c>
      <c r="V182" s="1049">
        <f t="shared" si="39"/>
        <v>0</v>
      </c>
      <c r="W182" s="1050">
        <f t="shared" si="39"/>
        <v>2.5325311551822463</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2562.5510023172546</v>
      </c>
      <c r="L185" s="518">
        <f>($L$188-$L$80)/($A$188-$A$80)+L184</f>
        <v>0.1</v>
      </c>
      <c r="M185" s="518">
        <f t="shared" ref="M185:M216" si="59">1-L185</f>
        <v>0.9</v>
      </c>
      <c r="N185" s="12">
        <f t="shared" ref="N185:O200" si="60">N183</f>
        <v>0</v>
      </c>
      <c r="O185" s="12">
        <f t="shared" si="60"/>
        <v>0</v>
      </c>
      <c r="P185" s="690">
        <f t="shared" si="54"/>
        <v>0.20500408018538041</v>
      </c>
      <c r="Q185" s="465">
        <f t="shared" si="55"/>
        <v>9.2251836083421175</v>
      </c>
      <c r="R185" s="12"/>
      <c r="S185" s="1044">
        <f t="shared" si="56"/>
        <v>0.55351101650052703</v>
      </c>
      <c r="T185" s="1033">
        <f t="shared" si="57"/>
        <v>0.42961291719026418</v>
      </c>
      <c r="U185" s="1034">
        <f t="shared" si="57"/>
        <v>24.145627780809392</v>
      </c>
      <c r="V185" s="1034">
        <f t="shared" si="57"/>
        <v>0</v>
      </c>
      <c r="W185" s="1035">
        <f t="shared" si="57"/>
        <v>1.4487376668485634</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2582.9210795159115</v>
      </c>
      <c r="L186" s="518">
        <f t="shared" ref="L186:L187" si="62">($L$188-$L$80)/($A$188-$A$80)+L185</f>
        <v>0.1</v>
      </c>
      <c r="M186" s="518">
        <f t="shared" si="59"/>
        <v>0.9</v>
      </c>
      <c r="N186" s="12">
        <f t="shared" si="60"/>
        <v>0</v>
      </c>
      <c r="O186" s="12">
        <f t="shared" si="60"/>
        <v>0</v>
      </c>
      <c r="P186" s="690">
        <f t="shared" si="54"/>
        <v>0.20663368636127297</v>
      </c>
      <c r="Q186" s="465">
        <f t="shared" si="55"/>
        <v>9.2985158862572828</v>
      </c>
      <c r="R186" s="12"/>
      <c r="S186" s="1044">
        <f t="shared" si="56"/>
        <v>0.55791095317543693</v>
      </c>
      <c r="T186" s="1033">
        <f t="shared" si="57"/>
        <v>0.50215811410100653</v>
      </c>
      <c r="U186" s="1034">
        <f t="shared" si="57"/>
        <v>26.291170481291964</v>
      </c>
      <c r="V186" s="1034">
        <f t="shared" si="57"/>
        <v>0</v>
      </c>
      <c r="W186" s="1035">
        <f t="shared" si="57"/>
        <v>1.5774702288775178</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2953.515836548303</v>
      </c>
      <c r="L187" s="518">
        <f t="shared" si="62"/>
        <v>0.1</v>
      </c>
      <c r="M187" s="518">
        <f t="shared" si="59"/>
        <v>0.9</v>
      </c>
      <c r="N187" s="12">
        <f t="shared" si="60"/>
        <v>0</v>
      </c>
      <c r="O187" s="12">
        <f t="shared" si="60"/>
        <v>0</v>
      </c>
      <c r="P187" s="690">
        <f t="shared" si="54"/>
        <v>0.23628126692386428</v>
      </c>
      <c r="Q187" s="465">
        <f t="shared" si="55"/>
        <v>10.63265701157389</v>
      </c>
      <c r="R187" s="12"/>
      <c r="S187" s="1044">
        <f t="shared" si="56"/>
        <v>0.63795942069443345</v>
      </c>
      <c r="T187" s="1033">
        <f t="shared" si="57"/>
        <v>0.65611062967576417</v>
      </c>
      <c r="U187" s="1034">
        <f t="shared" si="57"/>
        <v>31.857363684031053</v>
      </c>
      <c r="V187" s="1034">
        <f t="shared" si="57"/>
        <v>0</v>
      </c>
      <c r="W187" s="1035">
        <f t="shared" si="57"/>
        <v>1.9114418210418633</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3151.9670848679066</v>
      </c>
      <c r="L188" s="518">
        <f>'Recycling - Case 2'!E31</f>
        <v>0.1</v>
      </c>
      <c r="M188" s="518">
        <f t="shared" si="59"/>
        <v>0.9</v>
      </c>
      <c r="N188" s="12">
        <f t="shared" si="60"/>
        <v>0</v>
      </c>
      <c r="O188" s="12">
        <f t="shared" si="60"/>
        <v>0</v>
      </c>
      <c r="P188" s="690">
        <f t="shared" si="54"/>
        <v>0.25215736678943257</v>
      </c>
      <c r="Q188" s="465">
        <f t="shared" si="55"/>
        <v>11.347081505524464</v>
      </c>
      <c r="R188" s="12"/>
      <c r="S188" s="1044">
        <f t="shared" si="56"/>
        <v>0.68082489033146787</v>
      </c>
      <c r="T188" s="1033">
        <f t="shared" si="57"/>
        <v>0.76717020403859892</v>
      </c>
      <c r="U188" s="1034">
        <f t="shared" si="57"/>
        <v>34.522659181736948</v>
      </c>
      <c r="V188" s="1034">
        <f t="shared" si="57"/>
        <v>0</v>
      </c>
      <c r="W188" s="1035">
        <f t="shared" si="57"/>
        <v>2.0713595509042171</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3194.4586745285919</v>
      </c>
      <c r="L189" s="518">
        <f>L188</f>
        <v>0.1</v>
      </c>
      <c r="M189" s="518">
        <f t="shared" si="59"/>
        <v>0.9</v>
      </c>
      <c r="N189" s="12">
        <f t="shared" si="60"/>
        <v>0</v>
      </c>
      <c r="O189" s="12">
        <f t="shared" si="60"/>
        <v>0</v>
      </c>
      <c r="P189" s="690">
        <f t="shared" si="54"/>
        <v>0.25555669396228742</v>
      </c>
      <c r="Q189" s="465">
        <f t="shared" si="55"/>
        <v>11.500051228302931</v>
      </c>
      <c r="R189" s="12"/>
      <c r="S189" s="1044">
        <f t="shared" si="56"/>
        <v>0.69000307369817582</v>
      </c>
      <c r="T189" s="1033">
        <f t="shared" si="57"/>
        <v>0.77056953121145377</v>
      </c>
      <c r="U189" s="1034">
        <f t="shared" si="57"/>
        <v>34.675628904515413</v>
      </c>
      <c r="V189" s="1034">
        <f t="shared" si="57"/>
        <v>0</v>
      </c>
      <c r="W189" s="1035">
        <f t="shared" si="57"/>
        <v>2.080537734270925</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3241.8415741695385</v>
      </c>
      <c r="L190" s="518">
        <f t="shared" ref="L190:L216" si="64">L189</f>
        <v>0.1</v>
      </c>
      <c r="M190" s="518">
        <f t="shared" si="59"/>
        <v>0.9</v>
      </c>
      <c r="N190" s="12">
        <f t="shared" si="60"/>
        <v>0</v>
      </c>
      <c r="O190" s="12">
        <f t="shared" si="60"/>
        <v>0</v>
      </c>
      <c r="P190" s="690">
        <f t="shared" si="54"/>
        <v>0.25934732593356313</v>
      </c>
      <c r="Q190" s="465">
        <f t="shared" si="55"/>
        <v>11.670629667010338</v>
      </c>
      <c r="R190" s="12"/>
      <c r="S190" s="1044">
        <f t="shared" si="56"/>
        <v>0.70023778002062032</v>
      </c>
      <c r="T190" s="1033">
        <f t="shared" si="57"/>
        <v>0.77436016318272949</v>
      </c>
      <c r="U190" s="1034">
        <f t="shared" si="57"/>
        <v>34.846207343222822</v>
      </c>
      <c r="V190" s="1034">
        <f t="shared" si="57"/>
        <v>0</v>
      </c>
      <c r="W190" s="1035">
        <f t="shared" si="57"/>
        <v>2.0907724405933692</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3295.5782878286518</v>
      </c>
      <c r="L191" s="518">
        <f t="shared" si="64"/>
        <v>0.1</v>
      </c>
      <c r="M191" s="518">
        <f t="shared" si="59"/>
        <v>0.9</v>
      </c>
      <c r="N191" s="12">
        <f t="shared" si="60"/>
        <v>0</v>
      </c>
      <c r="O191" s="12">
        <f t="shared" si="60"/>
        <v>0</v>
      </c>
      <c r="P191" s="690">
        <f t="shared" si="54"/>
        <v>0.26364626302629224</v>
      </c>
      <c r="Q191" s="465">
        <f t="shared" si="55"/>
        <v>11.864081836183146</v>
      </c>
      <c r="R191" s="12"/>
      <c r="S191" s="1044">
        <f t="shared" si="56"/>
        <v>0.71184491017098883</v>
      </c>
      <c r="T191" s="1033">
        <f t="shared" si="57"/>
        <v>0.77865910027545859</v>
      </c>
      <c r="U191" s="1034">
        <f t="shared" si="57"/>
        <v>35.03965951239563</v>
      </c>
      <c r="V191" s="1034">
        <f t="shared" si="57"/>
        <v>0</v>
      </c>
      <c r="W191" s="1035">
        <f t="shared" si="57"/>
        <v>2.102379570743738</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3352.1643896886117</v>
      </c>
      <c r="L192" s="518">
        <f t="shared" si="64"/>
        <v>0.1</v>
      </c>
      <c r="M192" s="518">
        <f t="shared" si="59"/>
        <v>0.9</v>
      </c>
      <c r="N192" s="12">
        <f t="shared" si="60"/>
        <v>0</v>
      </c>
      <c r="O192" s="12">
        <f t="shared" si="60"/>
        <v>0</v>
      </c>
      <c r="P192" s="690">
        <f t="shared" si="54"/>
        <v>0.268173151175089</v>
      </c>
      <c r="Q192" s="465">
        <f t="shared" si="55"/>
        <v>12.067791802879002</v>
      </c>
      <c r="R192" s="12"/>
      <c r="S192" s="1044">
        <f t="shared" si="56"/>
        <v>0.72406750817274013</v>
      </c>
      <c r="T192" s="1033">
        <f t="shared" si="57"/>
        <v>0.78318598842425535</v>
      </c>
      <c r="U192" s="1034">
        <f t="shared" si="57"/>
        <v>35.243369479091484</v>
      </c>
      <c r="V192" s="1034">
        <f t="shared" si="57"/>
        <v>0</v>
      </c>
      <c r="W192" s="1035">
        <f t="shared" si="57"/>
        <v>2.1146021687454892</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3413.4690396132614</v>
      </c>
      <c r="L193" s="518">
        <f t="shared" si="64"/>
        <v>0.1</v>
      </c>
      <c r="M193" s="518">
        <f t="shared" si="59"/>
        <v>0.9</v>
      </c>
      <c r="N193" s="12">
        <f t="shared" si="60"/>
        <v>0</v>
      </c>
      <c r="O193" s="12">
        <f t="shared" si="60"/>
        <v>0</v>
      </c>
      <c r="P193" s="690">
        <f t="shared" si="54"/>
        <v>0.27307752316906098</v>
      </c>
      <c r="Q193" s="465">
        <f t="shared" si="55"/>
        <v>12.288488542607741</v>
      </c>
      <c r="R193" s="12"/>
      <c r="S193" s="1044">
        <f t="shared" si="56"/>
        <v>0.73730931255646437</v>
      </c>
      <c r="T193" s="1033">
        <f t="shared" si="57"/>
        <v>0.78809036041822733</v>
      </c>
      <c r="U193" s="1034">
        <f t="shared" si="57"/>
        <v>35.464066218820221</v>
      </c>
      <c r="V193" s="1034">
        <f t="shared" si="57"/>
        <v>0</v>
      </c>
      <c r="W193" s="1035">
        <f t="shared" si="57"/>
        <v>2.1278439731292136</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3474.2495868371143</v>
      </c>
      <c r="L194" s="518">
        <f t="shared" si="64"/>
        <v>0.1</v>
      </c>
      <c r="M194" s="518">
        <f t="shared" si="59"/>
        <v>0.9</v>
      </c>
      <c r="N194" s="12">
        <f t="shared" si="60"/>
        <v>0</v>
      </c>
      <c r="O194" s="12">
        <f t="shared" si="60"/>
        <v>0</v>
      </c>
      <c r="P194" s="690">
        <f t="shared" si="54"/>
        <v>0.27793996694696921</v>
      </c>
      <c r="Q194" s="465">
        <f t="shared" si="55"/>
        <v>12.507298512613612</v>
      </c>
      <c r="R194" s="12"/>
      <c r="S194" s="1044">
        <f t="shared" si="56"/>
        <v>0.75043791075681665</v>
      </c>
      <c r="T194" s="1033">
        <f t="shared" si="57"/>
        <v>0.79295280419613556</v>
      </c>
      <c r="U194" s="1034">
        <f t="shared" si="57"/>
        <v>35.6828761888261</v>
      </c>
      <c r="V194" s="1034">
        <f t="shared" si="57"/>
        <v>0</v>
      </c>
      <c r="W194" s="1035">
        <f t="shared" si="57"/>
        <v>2.1409725713295655</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3539.5837004803343</v>
      </c>
      <c r="L195" s="518">
        <f t="shared" si="64"/>
        <v>0.1</v>
      </c>
      <c r="M195" s="518">
        <f t="shared" si="59"/>
        <v>0.9</v>
      </c>
      <c r="N195" s="12">
        <f t="shared" si="60"/>
        <v>0</v>
      </c>
      <c r="O195" s="12">
        <f t="shared" si="60"/>
        <v>0</v>
      </c>
      <c r="P195" s="690">
        <f t="shared" si="54"/>
        <v>0.28316669603842676</v>
      </c>
      <c r="Q195" s="465">
        <f t="shared" si="55"/>
        <v>12.742501321729204</v>
      </c>
      <c r="R195" s="12"/>
      <c r="S195" s="1044">
        <f t="shared" si="56"/>
        <v>0.76455007930375218</v>
      </c>
      <c r="T195" s="1033">
        <f t="shared" si="57"/>
        <v>0.79817953328759317</v>
      </c>
      <c r="U195" s="1034">
        <f t="shared" si="57"/>
        <v>35.918078997941691</v>
      </c>
      <c r="V195" s="1034">
        <f t="shared" si="57"/>
        <v>0</v>
      </c>
      <c r="W195" s="1035">
        <f t="shared" si="57"/>
        <v>2.1550847398765014</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3604.9206439543955</v>
      </c>
      <c r="L196" s="518">
        <f t="shared" si="64"/>
        <v>0.1</v>
      </c>
      <c r="M196" s="518">
        <f t="shared" si="59"/>
        <v>0.9</v>
      </c>
      <c r="N196" s="12">
        <f t="shared" si="60"/>
        <v>0</v>
      </c>
      <c r="O196" s="12">
        <f t="shared" si="60"/>
        <v>0</v>
      </c>
      <c r="P196" s="690">
        <f t="shared" si="54"/>
        <v>0.28839365151635166</v>
      </c>
      <c r="Q196" s="465">
        <f t="shared" si="55"/>
        <v>12.977714318235822</v>
      </c>
      <c r="R196" s="12"/>
      <c r="S196" s="1044">
        <f t="shared" si="56"/>
        <v>0.77866285909414945</v>
      </c>
      <c r="T196" s="1033">
        <f t="shared" si="57"/>
        <v>0.80340648876551801</v>
      </c>
      <c r="U196" s="1034">
        <f t="shared" si="57"/>
        <v>36.15329199444831</v>
      </c>
      <c r="V196" s="1034">
        <f t="shared" si="57"/>
        <v>0</v>
      </c>
      <c r="W196" s="1035">
        <f t="shared" si="57"/>
        <v>2.1691975196668984</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3681.3674299410918</v>
      </c>
      <c r="L197" s="518">
        <f t="shared" si="64"/>
        <v>0.1</v>
      </c>
      <c r="M197" s="518">
        <f t="shared" si="59"/>
        <v>0.9</v>
      </c>
      <c r="N197" s="12">
        <f t="shared" si="60"/>
        <v>0</v>
      </c>
      <c r="O197" s="12">
        <f t="shared" si="60"/>
        <v>0</v>
      </c>
      <c r="P197" s="690">
        <f t="shared" si="54"/>
        <v>0.29450939439528739</v>
      </c>
      <c r="Q197" s="465">
        <f t="shared" si="55"/>
        <v>13.252922747787931</v>
      </c>
      <c r="R197" s="12"/>
      <c r="S197" s="1044">
        <f t="shared" si="56"/>
        <v>0.7951753648672758</v>
      </c>
      <c r="T197" s="1033">
        <f t="shared" si="57"/>
        <v>0.80952223164445369</v>
      </c>
      <c r="U197" s="1034">
        <f t="shared" si="57"/>
        <v>36.428500424000418</v>
      </c>
      <c r="V197" s="1034">
        <f t="shared" si="57"/>
        <v>0</v>
      </c>
      <c r="W197" s="1035">
        <f t="shared" si="57"/>
        <v>2.185710025440025</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3762.1138340559442</v>
      </c>
      <c r="L198" s="518">
        <f t="shared" si="64"/>
        <v>0.1</v>
      </c>
      <c r="M198" s="518">
        <f t="shared" si="59"/>
        <v>0.9</v>
      </c>
      <c r="N198" s="12">
        <f t="shared" si="60"/>
        <v>0</v>
      </c>
      <c r="O198" s="12">
        <f t="shared" si="60"/>
        <v>0</v>
      </c>
      <c r="P198" s="690">
        <f t="shared" si="54"/>
        <v>0.30096910672447558</v>
      </c>
      <c r="Q198" s="465">
        <f t="shared" si="55"/>
        <v>13.543609802601399</v>
      </c>
      <c r="R198" s="12"/>
      <c r="S198" s="1044">
        <f t="shared" si="56"/>
        <v>0.81261658815608395</v>
      </c>
      <c r="T198" s="1033">
        <f t="shared" si="57"/>
        <v>0.81598194397364199</v>
      </c>
      <c r="U198" s="1034">
        <f t="shared" si="57"/>
        <v>36.719187478813879</v>
      </c>
      <c r="V198" s="1034">
        <f t="shared" si="57"/>
        <v>0</v>
      </c>
      <c r="W198" s="1035">
        <f t="shared" si="57"/>
        <v>2.2031512487288332</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3846.8426928164727</v>
      </c>
      <c r="L199" s="518">
        <f t="shared" si="64"/>
        <v>0.1</v>
      </c>
      <c r="M199" s="518">
        <f t="shared" si="59"/>
        <v>0.9</v>
      </c>
      <c r="N199" s="12">
        <f t="shared" si="60"/>
        <v>0</v>
      </c>
      <c r="O199" s="12">
        <f t="shared" si="60"/>
        <v>0</v>
      </c>
      <c r="P199" s="690">
        <f t="shared" si="54"/>
        <v>0.30774741542531786</v>
      </c>
      <c r="Q199" s="465">
        <f t="shared" si="55"/>
        <v>13.848633694139302</v>
      </c>
      <c r="R199" s="12"/>
      <c r="S199" s="1044">
        <f t="shared" si="56"/>
        <v>0.83091802164835804</v>
      </c>
      <c r="T199" s="1033">
        <f t="shared" si="57"/>
        <v>0.82276025267448416</v>
      </c>
      <c r="U199" s="1034">
        <f t="shared" si="57"/>
        <v>37.024211370351786</v>
      </c>
      <c r="V199" s="1034">
        <f t="shared" si="57"/>
        <v>0</v>
      </c>
      <c r="W199" s="1035">
        <f t="shared" si="57"/>
        <v>2.2214526822211074</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3942.6229713368125</v>
      </c>
      <c r="L200" s="518">
        <f t="shared" si="64"/>
        <v>0.1</v>
      </c>
      <c r="M200" s="518">
        <f t="shared" si="59"/>
        <v>0.9</v>
      </c>
      <c r="N200" s="12">
        <f t="shared" si="60"/>
        <v>0</v>
      </c>
      <c r="O200" s="12">
        <f t="shared" si="60"/>
        <v>0</v>
      </c>
      <c r="P200" s="690">
        <f t="shared" si="54"/>
        <v>0.31540983770694503</v>
      </c>
      <c r="Q200" s="465">
        <f t="shared" si="55"/>
        <v>14.193442696812525</v>
      </c>
      <c r="R200" s="12"/>
      <c r="S200" s="1044">
        <f t="shared" si="56"/>
        <v>0.85160656180875149</v>
      </c>
      <c r="T200" s="1033">
        <f t="shared" si="57"/>
        <v>0.83042267495611144</v>
      </c>
      <c r="U200" s="1034">
        <f t="shared" si="57"/>
        <v>37.369020373025009</v>
      </c>
      <c r="V200" s="1034">
        <f t="shared" si="57"/>
        <v>0</v>
      </c>
      <c r="W200" s="1035">
        <f t="shared" si="57"/>
        <v>2.2421412223815005</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4033.9571187491515</v>
      </c>
      <c r="L201" s="518">
        <f t="shared" si="64"/>
        <v>0.1</v>
      </c>
      <c r="M201" s="518">
        <f t="shared" si="59"/>
        <v>0.9</v>
      </c>
      <c r="N201" s="12">
        <f t="shared" ref="N201:O216" si="65">N199</f>
        <v>0</v>
      </c>
      <c r="O201" s="12">
        <f t="shared" si="65"/>
        <v>0</v>
      </c>
      <c r="P201" s="690">
        <f t="shared" si="54"/>
        <v>0.32271656949993216</v>
      </c>
      <c r="Q201" s="465">
        <f t="shared" si="55"/>
        <v>14.522245627496947</v>
      </c>
      <c r="R201" s="12"/>
      <c r="S201" s="1044">
        <f t="shared" si="56"/>
        <v>0.87133473764981673</v>
      </c>
      <c r="T201" s="1033">
        <f t="shared" si="57"/>
        <v>0.83772940674909857</v>
      </c>
      <c r="U201" s="1034">
        <f t="shared" si="57"/>
        <v>37.697823303709427</v>
      </c>
      <c r="V201" s="1034">
        <f t="shared" si="57"/>
        <v>0</v>
      </c>
      <c r="W201" s="1035">
        <f t="shared" si="57"/>
        <v>2.2618693982225659</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4131.3567455738785</v>
      </c>
      <c r="L202" s="518">
        <f t="shared" si="64"/>
        <v>0.1</v>
      </c>
      <c r="M202" s="518">
        <f t="shared" si="59"/>
        <v>0.9</v>
      </c>
      <c r="N202" s="12">
        <f t="shared" si="65"/>
        <v>0</v>
      </c>
      <c r="O202" s="12">
        <f t="shared" si="65"/>
        <v>0</v>
      </c>
      <c r="P202" s="690">
        <f t="shared" si="54"/>
        <v>0.33050853964591032</v>
      </c>
      <c r="Q202" s="465">
        <f t="shared" si="55"/>
        <v>14.872884284065963</v>
      </c>
      <c r="R202" s="12"/>
      <c r="S202" s="1044">
        <f t="shared" si="56"/>
        <v>0.89237305704395775</v>
      </c>
      <c r="T202" s="1033">
        <f t="shared" si="57"/>
        <v>0.84552137689507667</v>
      </c>
      <c r="U202" s="1034">
        <f t="shared" si="57"/>
        <v>38.048461960278445</v>
      </c>
      <c r="V202" s="1034">
        <f t="shared" si="57"/>
        <v>0</v>
      </c>
      <c r="W202" s="1035">
        <f t="shared" si="57"/>
        <v>2.2829077176167067</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4238.9971068567629</v>
      </c>
      <c r="L203" s="518">
        <f t="shared" si="64"/>
        <v>0.1</v>
      </c>
      <c r="M203" s="518">
        <f t="shared" si="59"/>
        <v>0.9</v>
      </c>
      <c r="N203" s="12">
        <f t="shared" si="65"/>
        <v>0</v>
      </c>
      <c r="O203" s="12">
        <f t="shared" si="65"/>
        <v>0</v>
      </c>
      <c r="P203" s="690">
        <f t="shared" si="54"/>
        <v>0.33911976854854109</v>
      </c>
      <c r="Q203" s="465">
        <f t="shared" si="55"/>
        <v>15.260389584684345</v>
      </c>
      <c r="R203" s="12"/>
      <c r="S203" s="1044">
        <f t="shared" si="56"/>
        <v>0.91562337508106073</v>
      </c>
      <c r="T203" s="1033">
        <f t="shared" si="57"/>
        <v>0.85413260579770744</v>
      </c>
      <c r="U203" s="1034">
        <f t="shared" si="57"/>
        <v>38.435967260896831</v>
      </c>
      <c r="V203" s="1034">
        <f t="shared" si="57"/>
        <v>0</v>
      </c>
      <c r="W203" s="1035">
        <f t="shared" si="57"/>
        <v>2.3061580356538096</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4341.1729138260207</v>
      </c>
      <c r="L204" s="518">
        <f t="shared" si="64"/>
        <v>0.1</v>
      </c>
      <c r="M204" s="518">
        <f t="shared" si="59"/>
        <v>0.9</v>
      </c>
      <c r="N204" s="12">
        <f t="shared" si="65"/>
        <v>0</v>
      </c>
      <c r="O204" s="12">
        <f t="shared" si="65"/>
        <v>0</v>
      </c>
      <c r="P204" s="690">
        <f t="shared" si="54"/>
        <v>0.3472938331060817</v>
      </c>
      <c r="Q204" s="465">
        <f t="shared" si="55"/>
        <v>15.628222489773675</v>
      </c>
      <c r="R204" s="12"/>
      <c r="S204" s="1044">
        <f t="shared" si="56"/>
        <v>0.93769334938642046</v>
      </c>
      <c r="T204" s="1033">
        <f t="shared" si="57"/>
        <v>0.862306670355248</v>
      </c>
      <c r="U204" s="1034">
        <f t="shared" si="57"/>
        <v>38.803800165986161</v>
      </c>
      <c r="V204" s="1034">
        <f t="shared" si="57"/>
        <v>0</v>
      </c>
      <c r="W204" s="1035">
        <f t="shared" si="57"/>
        <v>2.3282280099591697</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4444.0310736329275</v>
      </c>
      <c r="L205" s="518">
        <f t="shared" si="64"/>
        <v>0.1</v>
      </c>
      <c r="M205" s="518">
        <f t="shared" si="59"/>
        <v>0.9</v>
      </c>
      <c r="N205" s="12">
        <f t="shared" si="65"/>
        <v>0</v>
      </c>
      <c r="O205" s="12">
        <f t="shared" si="65"/>
        <v>0</v>
      </c>
      <c r="P205" s="690">
        <f t="shared" si="54"/>
        <v>0.35552248589063423</v>
      </c>
      <c r="Q205" s="465">
        <f t="shared" si="55"/>
        <v>15.998511865078539</v>
      </c>
      <c r="R205" s="12"/>
      <c r="S205" s="1044">
        <f t="shared" si="56"/>
        <v>0.95991071190471233</v>
      </c>
      <c r="T205" s="1033">
        <f t="shared" si="57"/>
        <v>0.87053532313980053</v>
      </c>
      <c r="U205" s="1034">
        <f t="shared" si="57"/>
        <v>39.174089541291025</v>
      </c>
      <c r="V205" s="1034">
        <f t="shared" si="57"/>
        <v>0</v>
      </c>
      <c r="W205" s="1035">
        <f t="shared" si="57"/>
        <v>2.3504453724774614</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4549.242603331425</v>
      </c>
      <c r="L206" s="518">
        <f t="shared" si="64"/>
        <v>0.1</v>
      </c>
      <c r="M206" s="518">
        <f t="shared" si="59"/>
        <v>0.9</v>
      </c>
      <c r="N206" s="12">
        <f t="shared" si="65"/>
        <v>0</v>
      </c>
      <c r="O206" s="12">
        <f t="shared" si="65"/>
        <v>0</v>
      </c>
      <c r="P206" s="690">
        <f t="shared" si="54"/>
        <v>0.36393940826651405</v>
      </c>
      <c r="Q206" s="465">
        <f t="shared" si="55"/>
        <v>16.37727337199313</v>
      </c>
      <c r="R206" s="12"/>
      <c r="S206" s="1044">
        <f t="shared" si="56"/>
        <v>0.98263640231958782</v>
      </c>
      <c r="T206" s="1033">
        <f t="shared" si="57"/>
        <v>0.87895224551568041</v>
      </c>
      <c r="U206" s="1034">
        <f t="shared" si="57"/>
        <v>39.552851048205611</v>
      </c>
      <c r="V206" s="1034">
        <f t="shared" si="57"/>
        <v>0</v>
      </c>
      <c r="W206" s="1035">
        <f t="shared" si="57"/>
        <v>2.3731710628923368</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4658.452026609255</v>
      </c>
      <c r="L207" s="518">
        <f t="shared" si="64"/>
        <v>0.1</v>
      </c>
      <c r="M207" s="518">
        <f t="shared" si="59"/>
        <v>0.9</v>
      </c>
      <c r="N207" s="12">
        <f t="shared" si="65"/>
        <v>0</v>
      </c>
      <c r="O207" s="12">
        <f t="shared" si="65"/>
        <v>0</v>
      </c>
      <c r="P207" s="690">
        <f t="shared" si="54"/>
        <v>0.3726761621287405</v>
      </c>
      <c r="Q207" s="465">
        <f t="shared" si="55"/>
        <v>16.770427295793318</v>
      </c>
      <c r="R207" s="12"/>
      <c r="S207" s="1044">
        <f t="shared" si="56"/>
        <v>1.0062256377475991</v>
      </c>
      <c r="T207" s="1033">
        <f t="shared" si="57"/>
        <v>0.88768899937790691</v>
      </c>
      <c r="U207" s="1034">
        <f t="shared" si="57"/>
        <v>39.946004972005802</v>
      </c>
      <c r="V207" s="1034">
        <f t="shared" si="57"/>
        <v>0</v>
      </c>
      <c r="W207" s="1035">
        <f t="shared" si="57"/>
        <v>2.3967602983203484</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4763.4596201901322</v>
      </c>
      <c r="L208" s="518">
        <f t="shared" si="64"/>
        <v>0.1</v>
      </c>
      <c r="M208" s="518">
        <f t="shared" si="59"/>
        <v>0.9</v>
      </c>
      <c r="N208" s="12">
        <f t="shared" si="65"/>
        <v>0</v>
      </c>
      <c r="O208" s="12">
        <f t="shared" si="65"/>
        <v>0</v>
      </c>
      <c r="P208" s="690">
        <f t="shared" si="54"/>
        <v>0.38107676961521064</v>
      </c>
      <c r="Q208" s="465">
        <f t="shared" si="55"/>
        <v>17.148454632684476</v>
      </c>
      <c r="R208" s="12"/>
      <c r="S208" s="1044">
        <f t="shared" si="56"/>
        <v>1.0289072779610686</v>
      </c>
      <c r="T208" s="1033">
        <f t="shared" si="57"/>
        <v>0.896089606864377</v>
      </c>
      <c r="U208" s="1034">
        <f t="shared" si="57"/>
        <v>40.32403230889696</v>
      </c>
      <c r="V208" s="1034">
        <f t="shared" si="57"/>
        <v>0</v>
      </c>
      <c r="W208" s="1035">
        <f t="shared" si="57"/>
        <v>2.4194419385338177</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4871.4474578321506</v>
      </c>
      <c r="L209" s="518">
        <f t="shared" si="64"/>
        <v>0.1</v>
      </c>
      <c r="M209" s="518">
        <f t="shared" si="59"/>
        <v>0.9</v>
      </c>
      <c r="N209" s="12">
        <f t="shared" si="65"/>
        <v>0</v>
      </c>
      <c r="O209" s="12">
        <f t="shared" si="65"/>
        <v>0</v>
      </c>
      <c r="P209" s="690">
        <f t="shared" si="54"/>
        <v>0.38971579662657213</v>
      </c>
      <c r="Q209" s="465">
        <f t="shared" si="55"/>
        <v>17.537210848195745</v>
      </c>
      <c r="R209" s="12"/>
      <c r="S209" s="1044">
        <f t="shared" si="56"/>
        <v>1.0522326508917446</v>
      </c>
      <c r="T209" s="1033">
        <f t="shared" si="57"/>
        <v>0.90472863387573854</v>
      </c>
      <c r="U209" s="1034">
        <f t="shared" si="57"/>
        <v>40.712788524408225</v>
      </c>
      <c r="V209" s="1034">
        <f t="shared" si="57"/>
        <v>0</v>
      </c>
      <c r="W209" s="1035">
        <f t="shared" si="57"/>
        <v>2.4427673114644937</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4983.6817890261063</v>
      </c>
      <c r="L210" s="518">
        <f t="shared" si="64"/>
        <v>0.1</v>
      </c>
      <c r="M210" s="518">
        <f t="shared" si="59"/>
        <v>0.9</v>
      </c>
      <c r="N210" s="12">
        <f t="shared" si="65"/>
        <v>0</v>
      </c>
      <c r="O210" s="12">
        <f t="shared" si="65"/>
        <v>0</v>
      </c>
      <c r="P210" s="690">
        <f t="shared" si="54"/>
        <v>0.39869454312208857</v>
      </c>
      <c r="Q210" s="465">
        <f t="shared" si="55"/>
        <v>17.941254440493985</v>
      </c>
      <c r="R210" s="12"/>
      <c r="S210" s="1044">
        <f t="shared" si="56"/>
        <v>1.0764752664296389</v>
      </c>
      <c r="T210" s="1033">
        <f t="shared" si="57"/>
        <v>0.91370738037125498</v>
      </c>
      <c r="U210" s="1034">
        <f t="shared" si="57"/>
        <v>41.116832116706469</v>
      </c>
      <c r="V210" s="1034">
        <f t="shared" si="57"/>
        <v>0</v>
      </c>
      <c r="W210" s="1035">
        <f t="shared" si="57"/>
        <v>2.4670099270023877</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5100.203908457429</v>
      </c>
      <c r="L211" s="518">
        <f t="shared" si="64"/>
        <v>0.1</v>
      </c>
      <c r="M211" s="518">
        <f t="shared" si="59"/>
        <v>0.9</v>
      </c>
      <c r="N211" s="12">
        <f t="shared" si="65"/>
        <v>0</v>
      </c>
      <c r="O211" s="12">
        <f t="shared" si="65"/>
        <v>0</v>
      </c>
      <c r="P211" s="690">
        <f t="shared" si="54"/>
        <v>0.40801631267659438</v>
      </c>
      <c r="Q211" s="465">
        <f t="shared" si="55"/>
        <v>18.360734070446746</v>
      </c>
      <c r="R211" s="12"/>
      <c r="S211" s="1044">
        <f t="shared" si="56"/>
        <v>1.1016440442268047</v>
      </c>
      <c r="T211" s="1033">
        <f t="shared" si="57"/>
        <v>0.92302914992576079</v>
      </c>
      <c r="U211" s="1034">
        <f t="shared" si="57"/>
        <v>41.53631174665923</v>
      </c>
      <c r="V211" s="1034">
        <f t="shared" si="57"/>
        <v>0</v>
      </c>
      <c r="W211" s="1035">
        <f t="shared" si="57"/>
        <v>2.4921787047995538</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5217.0541904040911</v>
      </c>
      <c r="L212" s="518">
        <f t="shared" si="64"/>
        <v>0.1</v>
      </c>
      <c r="M212" s="518">
        <f t="shared" si="59"/>
        <v>0.9</v>
      </c>
      <c r="N212" s="12">
        <f t="shared" si="65"/>
        <v>0</v>
      </c>
      <c r="O212" s="12">
        <f t="shared" si="65"/>
        <v>0</v>
      </c>
      <c r="P212" s="690">
        <f t="shared" si="54"/>
        <v>0.41736433523232741</v>
      </c>
      <c r="Q212" s="465">
        <f t="shared" si="55"/>
        <v>18.781395085454729</v>
      </c>
      <c r="R212" s="12"/>
      <c r="S212" s="1044">
        <f t="shared" si="56"/>
        <v>1.1268837051272838</v>
      </c>
      <c r="T212" s="1033">
        <f t="shared" si="57"/>
        <v>0.93237717248149377</v>
      </c>
      <c r="U212" s="1034">
        <f t="shared" si="57"/>
        <v>41.956972761667217</v>
      </c>
      <c r="V212" s="1034">
        <f t="shared" si="57"/>
        <v>0</v>
      </c>
      <c r="W212" s="1035">
        <f t="shared" si="57"/>
        <v>2.5174183657000331</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5243.2755347882812</v>
      </c>
      <c r="L213" s="518">
        <f t="shared" si="64"/>
        <v>0.1</v>
      </c>
      <c r="M213" s="518">
        <f t="shared" si="59"/>
        <v>0.9</v>
      </c>
      <c r="N213" s="12">
        <f t="shared" si="65"/>
        <v>0</v>
      </c>
      <c r="O213" s="12">
        <f t="shared" si="65"/>
        <v>0</v>
      </c>
      <c r="P213" s="690">
        <f t="shared" si="54"/>
        <v>0.41946204278306259</v>
      </c>
      <c r="Q213" s="465">
        <f t="shared" si="55"/>
        <v>18.875791925237813</v>
      </c>
      <c r="R213" s="12"/>
      <c r="S213" s="1044">
        <f t="shared" si="56"/>
        <v>1.1325475155142688</v>
      </c>
      <c r="T213" s="1033">
        <f t="shared" si="57"/>
        <v>0.93447488003222889</v>
      </c>
      <c r="U213" s="1034">
        <f t="shared" si="57"/>
        <v>42.051369601450297</v>
      </c>
      <c r="V213" s="1034">
        <f t="shared" si="57"/>
        <v>0</v>
      </c>
      <c r="W213" s="1035">
        <f t="shared" si="57"/>
        <v>2.5230821760870179</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5258.9439907476335</v>
      </c>
      <c r="L214" s="518">
        <f t="shared" si="64"/>
        <v>0.1</v>
      </c>
      <c r="M214" s="518">
        <f t="shared" si="59"/>
        <v>0.9</v>
      </c>
      <c r="N214" s="12">
        <f t="shared" si="65"/>
        <v>0</v>
      </c>
      <c r="O214" s="12">
        <f t="shared" si="65"/>
        <v>0</v>
      </c>
      <c r="P214" s="690">
        <f t="shared" si="54"/>
        <v>0.42071551925981077</v>
      </c>
      <c r="Q214" s="465">
        <f t="shared" si="55"/>
        <v>18.93219836669148</v>
      </c>
      <c r="R214" s="12"/>
      <c r="S214" s="1044">
        <f t="shared" si="56"/>
        <v>1.1359319020014889</v>
      </c>
      <c r="T214" s="1033">
        <f t="shared" si="57"/>
        <v>0.93572835650897712</v>
      </c>
      <c r="U214" s="1034">
        <f t="shared" si="57"/>
        <v>42.107776042903964</v>
      </c>
      <c r="V214" s="1034">
        <f t="shared" si="57"/>
        <v>0</v>
      </c>
      <c r="W214" s="1035">
        <f t="shared" si="57"/>
        <v>2.526466562574238</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5275.1601987700142</v>
      </c>
      <c r="L215" s="518">
        <f t="shared" si="64"/>
        <v>0.1</v>
      </c>
      <c r="M215" s="518">
        <f t="shared" si="59"/>
        <v>0.9</v>
      </c>
      <c r="N215" s="12">
        <f t="shared" si="65"/>
        <v>0</v>
      </c>
      <c r="O215" s="12">
        <f t="shared" si="65"/>
        <v>0</v>
      </c>
      <c r="P215" s="690">
        <f t="shared" si="54"/>
        <v>0.42201281590160122</v>
      </c>
      <c r="Q215" s="465">
        <f t="shared" si="55"/>
        <v>18.990576715572054</v>
      </c>
      <c r="R215" s="12"/>
      <c r="S215" s="1044">
        <f t="shared" si="56"/>
        <v>1.139434602934323</v>
      </c>
      <c r="T215" s="1033">
        <f t="shared" si="57"/>
        <v>0.93702565315076758</v>
      </c>
      <c r="U215" s="1034">
        <f t="shared" si="57"/>
        <v>42.166154391784538</v>
      </c>
      <c r="V215" s="1034">
        <f t="shared" si="57"/>
        <v>0</v>
      </c>
      <c r="W215" s="1035">
        <f t="shared" si="57"/>
        <v>2.5299692635070721</v>
      </c>
    </row>
    <row r="216" spans="1:23" ht="1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5287.0208083773005</v>
      </c>
      <c r="L216" s="520">
        <f t="shared" si="64"/>
        <v>0.1</v>
      </c>
      <c r="M216" s="520">
        <f t="shared" si="59"/>
        <v>0.9</v>
      </c>
      <c r="N216" s="1045">
        <f t="shared" si="65"/>
        <v>0</v>
      </c>
      <c r="O216" s="1045">
        <f t="shared" si="65"/>
        <v>0</v>
      </c>
      <c r="P216" s="1046">
        <f t="shared" si="54"/>
        <v>0.42296166467018415</v>
      </c>
      <c r="Q216" s="988">
        <f t="shared" si="55"/>
        <v>19.03327491015828</v>
      </c>
      <c r="R216" s="1045"/>
      <c r="S216" s="1047">
        <f t="shared" si="56"/>
        <v>1.1419964946094969</v>
      </c>
      <c r="T216" s="1048">
        <f t="shared" si="57"/>
        <v>0.9379745019193505</v>
      </c>
      <c r="U216" s="1049">
        <f t="shared" si="57"/>
        <v>42.208852586370767</v>
      </c>
      <c r="V216" s="1049">
        <f t="shared" si="57"/>
        <v>0</v>
      </c>
      <c r="W216" s="1050">
        <f t="shared" si="57"/>
        <v>2.5325311551822463</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2562.5510023172546</v>
      </c>
      <c r="L219" s="518">
        <f>($L$222-$L$80)/($A$222-$A$80)+L218</f>
        <v>0.26</v>
      </c>
      <c r="M219" s="518">
        <f>($M$222-$M$80)/($A$222-$A$80)+M218</f>
        <v>0.7400000000000001</v>
      </c>
      <c r="N219" s="12">
        <f t="shared" si="66"/>
        <v>0</v>
      </c>
      <c r="O219" s="12">
        <f t="shared" si="66"/>
        <v>0</v>
      </c>
      <c r="P219" s="690">
        <f t="shared" si="67"/>
        <v>0.533010608481989</v>
      </c>
      <c r="Q219" s="465">
        <f t="shared" si="68"/>
        <v>7.5851509668590751</v>
      </c>
      <c r="R219" s="12"/>
      <c r="S219" s="1044">
        <f t="shared" si="69"/>
        <v>0.45510905801154444</v>
      </c>
      <c r="T219" s="1033">
        <f t="shared" si="70"/>
        <v>1.2710110729266071</v>
      </c>
      <c r="U219" s="1034">
        <f t="shared" si="70"/>
        <v>19.938637002127678</v>
      </c>
      <c r="V219" s="1034">
        <f t="shared" si="70"/>
        <v>0</v>
      </c>
      <c r="W219" s="1035">
        <f t="shared" si="70"/>
        <v>1.1963182201276608</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2582.9210795159115</v>
      </c>
      <c r="L220" s="518">
        <f>($L$222-$L$80)/($A$222-$A$80)+L219</f>
        <v>0.34</v>
      </c>
      <c r="M220" s="518">
        <f>($M$222-$M$80)/($A$222-$A$80)+M219</f>
        <v>0.66000000000000014</v>
      </c>
      <c r="N220" s="12">
        <f t="shared" si="66"/>
        <v>0</v>
      </c>
      <c r="O220" s="12">
        <f t="shared" si="66"/>
        <v>0</v>
      </c>
      <c r="P220" s="690">
        <f t="shared" si="67"/>
        <v>0.70255453362832798</v>
      </c>
      <c r="Q220" s="465">
        <f t="shared" si="68"/>
        <v>6.8189116499220077</v>
      </c>
      <c r="R220" s="12"/>
      <c r="S220" s="1044">
        <f t="shared" si="69"/>
        <v>0.40913469899532051</v>
      </c>
      <c r="T220" s="1033">
        <f t="shared" si="70"/>
        <v>1.8846522445872624</v>
      </c>
      <c r="U220" s="1034">
        <f t="shared" si="70"/>
        <v>19.378699828860686</v>
      </c>
      <c r="V220" s="1034">
        <f t="shared" si="70"/>
        <v>0</v>
      </c>
      <c r="W220" s="1035">
        <f t="shared" si="70"/>
        <v>1.162721989731641</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2953.515836548303</v>
      </c>
      <c r="L221" s="518">
        <f>($L$222-$L$80)/($A$222-$A$80)+L220</f>
        <v>0.42000000000000004</v>
      </c>
      <c r="M221" s="518">
        <f>($M$222-$M$80)/($A$222-$A$80)+M220</f>
        <v>0.58000000000000018</v>
      </c>
      <c r="N221" s="12">
        <f t="shared" si="66"/>
        <v>0</v>
      </c>
      <c r="O221" s="12">
        <f t="shared" si="66"/>
        <v>0</v>
      </c>
      <c r="P221" s="690">
        <f t="shared" si="67"/>
        <v>0.99238132108023003</v>
      </c>
      <c r="Q221" s="465">
        <f t="shared" si="68"/>
        <v>6.8521567407920649</v>
      </c>
      <c r="R221" s="12"/>
      <c r="S221" s="1044">
        <f t="shared" si="69"/>
        <v>0.41112940444752394</v>
      </c>
      <c r="T221" s="1033">
        <f t="shared" si="70"/>
        <v>2.9049373069499969</v>
      </c>
      <c r="U221" s="1034">
        <f t="shared" si="70"/>
        <v>20.613230297659896</v>
      </c>
      <c r="V221" s="1034">
        <f t="shared" si="70"/>
        <v>0</v>
      </c>
      <c r="W221" s="1035">
        <f t="shared" si="70"/>
        <v>1.2367938178595936</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3151.9670848679066</v>
      </c>
      <c r="L222" s="518">
        <f>'Recycling - Case 3'!G31</f>
        <v>0.5</v>
      </c>
      <c r="M222" s="518">
        <f>'Recycling - Case 3'!H31</f>
        <v>0.5</v>
      </c>
      <c r="N222" s="12">
        <f t="shared" si="66"/>
        <v>0</v>
      </c>
      <c r="O222" s="12">
        <f t="shared" si="66"/>
        <v>0</v>
      </c>
      <c r="P222" s="690">
        <f t="shared" si="67"/>
        <v>1.2607868339471626</v>
      </c>
      <c r="Q222" s="465">
        <f t="shared" si="68"/>
        <v>6.3039341697358129</v>
      </c>
      <c r="R222" s="12"/>
      <c r="S222" s="1044">
        <f t="shared" si="69"/>
        <v>0.3782360501841488</v>
      </c>
      <c r="T222" s="1033">
        <f t="shared" si="70"/>
        <v>3.8358510201929947</v>
      </c>
      <c r="U222" s="1034">
        <f t="shared" si="70"/>
        <v>19.179255100964973</v>
      </c>
      <c r="V222" s="1034">
        <f t="shared" si="70"/>
        <v>0</v>
      </c>
      <c r="W222" s="1035">
        <f t="shared" si="70"/>
        <v>1.1507553060578983</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3194.4586745285919</v>
      </c>
      <c r="L223" s="518">
        <f>L222</f>
        <v>0.5</v>
      </c>
      <c r="M223" s="518">
        <f>M222</f>
        <v>0.5</v>
      </c>
      <c r="N223" s="12">
        <f t="shared" si="66"/>
        <v>0</v>
      </c>
      <c r="O223" s="12">
        <f t="shared" si="66"/>
        <v>0</v>
      </c>
      <c r="P223" s="690">
        <f t="shared" si="67"/>
        <v>1.2777834698114368</v>
      </c>
      <c r="Q223" s="465">
        <f t="shared" si="68"/>
        <v>6.3889173490571842</v>
      </c>
      <c r="R223" s="12"/>
      <c r="S223" s="1044">
        <f t="shared" si="69"/>
        <v>0.38333504094343102</v>
      </c>
      <c r="T223" s="1033">
        <f t="shared" si="70"/>
        <v>3.8528476560572686</v>
      </c>
      <c r="U223" s="1034">
        <f t="shared" si="70"/>
        <v>19.264238280286342</v>
      </c>
      <c r="V223" s="1034">
        <f t="shared" si="70"/>
        <v>0</v>
      </c>
      <c r="W223" s="1035">
        <f t="shared" si="70"/>
        <v>1.1558542968171805</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3241.8415741695385</v>
      </c>
      <c r="L224" s="518">
        <f t="shared" ref="L224:M239" si="76">L223</f>
        <v>0.5</v>
      </c>
      <c r="M224" s="518">
        <f t="shared" si="76"/>
        <v>0.5</v>
      </c>
      <c r="N224" s="12">
        <f t="shared" si="66"/>
        <v>0</v>
      </c>
      <c r="O224" s="12">
        <f t="shared" si="66"/>
        <v>0</v>
      </c>
      <c r="P224" s="690">
        <f t="shared" si="67"/>
        <v>1.2967366296678156</v>
      </c>
      <c r="Q224" s="465">
        <f t="shared" si="68"/>
        <v>6.4836831483390771</v>
      </c>
      <c r="R224" s="12"/>
      <c r="S224" s="1044">
        <f t="shared" si="69"/>
        <v>0.38902098890034459</v>
      </c>
      <c r="T224" s="1033">
        <f t="shared" si="70"/>
        <v>3.8718008159136472</v>
      </c>
      <c r="U224" s="1034">
        <f t="shared" si="70"/>
        <v>19.359004079568237</v>
      </c>
      <c r="V224" s="1034">
        <f t="shared" si="70"/>
        <v>0</v>
      </c>
      <c r="W224" s="1035">
        <f t="shared" si="70"/>
        <v>1.1615402447740941</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3295.5782878286518</v>
      </c>
      <c r="L225" s="518">
        <f t="shared" si="76"/>
        <v>0.5</v>
      </c>
      <c r="M225" s="518">
        <f t="shared" si="76"/>
        <v>0.5</v>
      </c>
      <c r="N225" s="12">
        <f t="shared" si="66"/>
        <v>0</v>
      </c>
      <c r="O225" s="12">
        <f t="shared" si="66"/>
        <v>0</v>
      </c>
      <c r="P225" s="690">
        <f t="shared" si="67"/>
        <v>1.3182313151314609</v>
      </c>
      <c r="Q225" s="465">
        <f t="shared" si="68"/>
        <v>6.5911565756573038</v>
      </c>
      <c r="R225" s="12"/>
      <c r="S225" s="1044">
        <f t="shared" si="69"/>
        <v>0.39546939453943819</v>
      </c>
      <c r="T225" s="1033">
        <f t="shared" si="70"/>
        <v>3.8932955013772927</v>
      </c>
      <c r="U225" s="1034">
        <f t="shared" si="70"/>
        <v>19.466477506886463</v>
      </c>
      <c r="V225" s="1034">
        <f t="shared" si="70"/>
        <v>0</v>
      </c>
      <c r="W225" s="1035">
        <f t="shared" si="70"/>
        <v>1.1679886504131876</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3352.1643896886117</v>
      </c>
      <c r="L226" s="518">
        <f t="shared" si="76"/>
        <v>0.5</v>
      </c>
      <c r="M226" s="518">
        <f t="shared" si="76"/>
        <v>0.5</v>
      </c>
      <c r="N226" s="12">
        <f t="shared" si="66"/>
        <v>0</v>
      </c>
      <c r="O226" s="12">
        <f t="shared" si="66"/>
        <v>0</v>
      </c>
      <c r="P226" s="690">
        <f t="shared" si="67"/>
        <v>1.3408657558754449</v>
      </c>
      <c r="Q226" s="465">
        <f t="shared" si="68"/>
        <v>6.7043287793772235</v>
      </c>
      <c r="R226" s="12"/>
      <c r="S226" s="1044">
        <f t="shared" si="69"/>
        <v>0.40225972676263339</v>
      </c>
      <c r="T226" s="1033">
        <f t="shared" si="70"/>
        <v>3.9159299421212768</v>
      </c>
      <c r="U226" s="1034">
        <f t="shared" si="70"/>
        <v>19.579649710606382</v>
      </c>
      <c r="V226" s="1034">
        <f t="shared" si="70"/>
        <v>0</v>
      </c>
      <c r="W226" s="1035">
        <f t="shared" si="70"/>
        <v>1.1747789826363828</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3413.4690396132614</v>
      </c>
      <c r="L227" s="518">
        <f t="shared" si="76"/>
        <v>0.5</v>
      </c>
      <c r="M227" s="518">
        <f t="shared" si="76"/>
        <v>0.5</v>
      </c>
      <c r="N227" s="12">
        <f t="shared" si="66"/>
        <v>0</v>
      </c>
      <c r="O227" s="12">
        <f t="shared" si="66"/>
        <v>0</v>
      </c>
      <c r="P227" s="690">
        <f t="shared" si="67"/>
        <v>1.3653876158453047</v>
      </c>
      <c r="Q227" s="465">
        <f t="shared" si="68"/>
        <v>6.8269380792265233</v>
      </c>
      <c r="R227" s="12"/>
      <c r="S227" s="1044">
        <f t="shared" si="69"/>
        <v>0.40961628475359135</v>
      </c>
      <c r="T227" s="1033">
        <f t="shared" si="70"/>
        <v>3.9404518020911365</v>
      </c>
      <c r="U227" s="1034">
        <f t="shared" si="70"/>
        <v>19.702259010455681</v>
      </c>
      <c r="V227" s="1034">
        <f t="shared" si="70"/>
        <v>0</v>
      </c>
      <c r="W227" s="1035">
        <f t="shared" si="70"/>
        <v>1.1821355406273408</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3474.2495868371143</v>
      </c>
      <c r="L228" s="518">
        <f t="shared" si="76"/>
        <v>0.5</v>
      </c>
      <c r="M228" s="518">
        <f t="shared" si="76"/>
        <v>0.5</v>
      </c>
      <c r="N228" s="12">
        <f t="shared" si="66"/>
        <v>0</v>
      </c>
      <c r="O228" s="12">
        <f t="shared" si="66"/>
        <v>0</v>
      </c>
      <c r="P228" s="690">
        <f t="shared" si="67"/>
        <v>1.3896998347348457</v>
      </c>
      <c r="Q228" s="465">
        <f t="shared" si="68"/>
        <v>6.9484991736742288</v>
      </c>
      <c r="R228" s="12"/>
      <c r="S228" s="1044">
        <f t="shared" si="69"/>
        <v>0.4169099504204537</v>
      </c>
      <c r="T228" s="1033">
        <f t="shared" si="70"/>
        <v>3.9647640209806774</v>
      </c>
      <c r="U228" s="1034">
        <f t="shared" si="70"/>
        <v>19.823820104903387</v>
      </c>
      <c r="V228" s="1034">
        <f t="shared" si="70"/>
        <v>0</v>
      </c>
      <c r="W228" s="1035">
        <f t="shared" si="70"/>
        <v>1.1894292062942031</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3539.5837004803343</v>
      </c>
      <c r="L229" s="518">
        <f t="shared" si="76"/>
        <v>0.5</v>
      </c>
      <c r="M229" s="518">
        <f t="shared" si="76"/>
        <v>0.5</v>
      </c>
      <c r="N229" s="12">
        <f t="shared" si="66"/>
        <v>0</v>
      </c>
      <c r="O229" s="12">
        <f t="shared" si="66"/>
        <v>0</v>
      </c>
      <c r="P229" s="690">
        <f t="shared" si="67"/>
        <v>1.4158334801921337</v>
      </c>
      <c r="Q229" s="465">
        <f t="shared" si="68"/>
        <v>7.0791674009606682</v>
      </c>
      <c r="R229" s="12"/>
      <c r="S229" s="1044">
        <f t="shared" si="69"/>
        <v>0.42475004405764011</v>
      </c>
      <c r="T229" s="1033">
        <f t="shared" si="70"/>
        <v>3.9908976664379656</v>
      </c>
      <c r="U229" s="1034">
        <f t="shared" si="70"/>
        <v>19.954488332189825</v>
      </c>
      <c r="V229" s="1034">
        <f t="shared" si="70"/>
        <v>0</v>
      </c>
      <c r="W229" s="1035">
        <f t="shared" si="70"/>
        <v>1.1972692999313896</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3604.9206439543955</v>
      </c>
      <c r="L230" s="518">
        <f t="shared" si="76"/>
        <v>0.5</v>
      </c>
      <c r="M230" s="518">
        <f t="shared" si="76"/>
        <v>0.5</v>
      </c>
      <c r="N230" s="12">
        <f t="shared" si="66"/>
        <v>0</v>
      </c>
      <c r="O230" s="12">
        <f t="shared" si="66"/>
        <v>0</v>
      </c>
      <c r="P230" s="690">
        <f t="shared" si="67"/>
        <v>1.4419682575817583</v>
      </c>
      <c r="Q230" s="465">
        <f t="shared" si="68"/>
        <v>7.209841287908791</v>
      </c>
      <c r="R230" s="12"/>
      <c r="S230" s="1044">
        <f t="shared" si="69"/>
        <v>0.43259047727452743</v>
      </c>
      <c r="T230" s="1033">
        <f t="shared" si="70"/>
        <v>4.0170324438275902</v>
      </c>
      <c r="U230" s="1034">
        <f t="shared" si="70"/>
        <v>20.085162219137949</v>
      </c>
      <c r="V230" s="1034">
        <f t="shared" si="70"/>
        <v>0</v>
      </c>
      <c r="W230" s="1035">
        <f t="shared" si="70"/>
        <v>1.205109733148277</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3681.3674299410918</v>
      </c>
      <c r="L231" s="518">
        <f t="shared" si="76"/>
        <v>0.5</v>
      </c>
      <c r="M231" s="518">
        <f t="shared" si="76"/>
        <v>0.5</v>
      </c>
      <c r="N231" s="12">
        <f t="shared" si="66"/>
        <v>0</v>
      </c>
      <c r="O231" s="12">
        <f t="shared" si="66"/>
        <v>0</v>
      </c>
      <c r="P231" s="690">
        <f t="shared" si="67"/>
        <v>1.4725469719764368</v>
      </c>
      <c r="Q231" s="465">
        <f t="shared" si="68"/>
        <v>7.3627348598821838</v>
      </c>
      <c r="R231" s="12"/>
      <c r="S231" s="1044">
        <f t="shared" si="69"/>
        <v>0.44176409159293101</v>
      </c>
      <c r="T231" s="1033">
        <f t="shared" si="70"/>
        <v>4.0476111582222689</v>
      </c>
      <c r="U231" s="1034">
        <f t="shared" si="70"/>
        <v>20.238055791111343</v>
      </c>
      <c r="V231" s="1034">
        <f t="shared" si="70"/>
        <v>0</v>
      </c>
      <c r="W231" s="1035">
        <f t="shared" si="70"/>
        <v>1.2142833474666805</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3762.1138340559442</v>
      </c>
      <c r="L232" s="518">
        <f t="shared" si="76"/>
        <v>0.5</v>
      </c>
      <c r="M232" s="518">
        <f t="shared" si="76"/>
        <v>0.5</v>
      </c>
      <c r="N232" s="12">
        <f t="shared" si="66"/>
        <v>0</v>
      </c>
      <c r="O232" s="12">
        <f t="shared" si="66"/>
        <v>0</v>
      </c>
      <c r="P232" s="690">
        <f t="shared" si="67"/>
        <v>1.5048455336223778</v>
      </c>
      <c r="Q232" s="465">
        <f t="shared" si="68"/>
        <v>7.5242276681118883</v>
      </c>
      <c r="R232" s="12"/>
      <c r="S232" s="1044">
        <f t="shared" si="69"/>
        <v>0.45145366008671328</v>
      </c>
      <c r="T232" s="1033">
        <f t="shared" si="70"/>
        <v>4.0799097198682102</v>
      </c>
      <c r="U232" s="1034">
        <f t="shared" si="70"/>
        <v>20.399548599341045</v>
      </c>
      <c r="V232" s="1034">
        <f t="shared" si="70"/>
        <v>0</v>
      </c>
      <c r="W232" s="1035">
        <f t="shared" si="70"/>
        <v>1.2239729159604629</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3846.8426928164727</v>
      </c>
      <c r="L233" s="518">
        <f t="shared" si="76"/>
        <v>0.5</v>
      </c>
      <c r="M233" s="518">
        <f t="shared" si="76"/>
        <v>0.5</v>
      </c>
      <c r="N233" s="12">
        <f t="shared" si="66"/>
        <v>0</v>
      </c>
      <c r="O233" s="12">
        <f t="shared" si="66"/>
        <v>0</v>
      </c>
      <c r="P233" s="690">
        <f t="shared" si="67"/>
        <v>1.5387370771265891</v>
      </c>
      <c r="Q233" s="465">
        <f t="shared" si="68"/>
        <v>7.6936853856329455</v>
      </c>
      <c r="R233" s="12"/>
      <c r="S233" s="1044">
        <f t="shared" si="69"/>
        <v>0.46162112313797671</v>
      </c>
      <c r="T233" s="1033">
        <f t="shared" si="70"/>
        <v>4.1138012633724212</v>
      </c>
      <c r="U233" s="1034">
        <f t="shared" si="70"/>
        <v>20.569006316862104</v>
      </c>
      <c r="V233" s="1034">
        <f t="shared" si="70"/>
        <v>0</v>
      </c>
      <c r="W233" s="1035">
        <f t="shared" si="70"/>
        <v>1.2341403790117262</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3942.6229713368125</v>
      </c>
      <c r="L234" s="518">
        <f t="shared" si="76"/>
        <v>0.5</v>
      </c>
      <c r="M234" s="518">
        <f t="shared" si="76"/>
        <v>0.5</v>
      </c>
      <c r="N234" s="12">
        <f t="shared" ref="N234:O249" si="77">N96</f>
        <v>0</v>
      </c>
      <c r="O234" s="12">
        <f t="shared" si="77"/>
        <v>0</v>
      </c>
      <c r="P234" s="690">
        <f t="shared" si="67"/>
        <v>1.5770491885347251</v>
      </c>
      <c r="Q234" s="465">
        <f t="shared" si="68"/>
        <v>7.8852459426736248</v>
      </c>
      <c r="R234" s="12"/>
      <c r="S234" s="1044">
        <f t="shared" si="69"/>
        <v>0.47311475656041752</v>
      </c>
      <c r="T234" s="1033">
        <f t="shared" si="70"/>
        <v>4.1521133747805568</v>
      </c>
      <c r="U234" s="1034">
        <f t="shared" si="70"/>
        <v>20.760566873902782</v>
      </c>
      <c r="V234" s="1034">
        <f t="shared" si="70"/>
        <v>0</v>
      </c>
      <c r="W234" s="1035">
        <f t="shared" si="70"/>
        <v>1.2456340124341669</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4033.9571187491515</v>
      </c>
      <c r="L235" s="518">
        <f t="shared" si="76"/>
        <v>0.5</v>
      </c>
      <c r="M235" s="518">
        <f t="shared" si="76"/>
        <v>0.5</v>
      </c>
      <c r="N235" s="12">
        <f t="shared" si="77"/>
        <v>0</v>
      </c>
      <c r="O235" s="12">
        <f t="shared" si="77"/>
        <v>0</v>
      </c>
      <c r="P235" s="690">
        <f t="shared" si="67"/>
        <v>1.6135828474996605</v>
      </c>
      <c r="Q235" s="465">
        <f t="shared" si="68"/>
        <v>8.0679142374983037</v>
      </c>
      <c r="R235" s="12"/>
      <c r="S235" s="1044">
        <f t="shared" si="69"/>
        <v>0.48407485424989816</v>
      </c>
      <c r="T235" s="1033">
        <f t="shared" si="70"/>
        <v>4.1886470337454922</v>
      </c>
      <c r="U235" s="1034">
        <f t="shared" si="70"/>
        <v>20.943235168727462</v>
      </c>
      <c r="V235" s="1034">
        <f t="shared" si="70"/>
        <v>0</v>
      </c>
      <c r="W235" s="1035">
        <f t="shared" si="70"/>
        <v>1.2565941101236477</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4131.3567455738785</v>
      </c>
      <c r="L236" s="518">
        <f t="shared" si="76"/>
        <v>0.5</v>
      </c>
      <c r="M236" s="518">
        <f t="shared" si="76"/>
        <v>0.5</v>
      </c>
      <c r="N236" s="12">
        <f t="shared" si="77"/>
        <v>0</v>
      </c>
      <c r="O236" s="12">
        <f t="shared" si="77"/>
        <v>0</v>
      </c>
      <c r="P236" s="690">
        <f t="shared" si="67"/>
        <v>1.6525426982295515</v>
      </c>
      <c r="Q236" s="465">
        <f t="shared" si="68"/>
        <v>8.2627134911477569</v>
      </c>
      <c r="R236" s="12"/>
      <c r="S236" s="1044">
        <f t="shared" si="69"/>
        <v>0.49576280946886536</v>
      </c>
      <c r="T236" s="1033">
        <f t="shared" si="70"/>
        <v>4.2276068844753834</v>
      </c>
      <c r="U236" s="1034">
        <f t="shared" si="70"/>
        <v>21.138034422376915</v>
      </c>
      <c r="V236" s="1034">
        <f t="shared" si="70"/>
        <v>0</v>
      </c>
      <c r="W236" s="1035">
        <f t="shared" si="70"/>
        <v>1.2682820653426148</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4238.9971068567629</v>
      </c>
      <c r="L237" s="518">
        <f t="shared" si="76"/>
        <v>0.5</v>
      </c>
      <c r="M237" s="518">
        <f t="shared" si="76"/>
        <v>0.5</v>
      </c>
      <c r="N237" s="12">
        <f t="shared" si="77"/>
        <v>0</v>
      </c>
      <c r="O237" s="12">
        <f t="shared" si="77"/>
        <v>0</v>
      </c>
      <c r="P237" s="690">
        <f t="shared" si="67"/>
        <v>1.6955988427427053</v>
      </c>
      <c r="Q237" s="465">
        <f t="shared" si="68"/>
        <v>8.4779942137135258</v>
      </c>
      <c r="R237" s="12"/>
      <c r="S237" s="1044">
        <f t="shared" si="69"/>
        <v>0.50867965282281158</v>
      </c>
      <c r="T237" s="1033">
        <f t="shared" si="70"/>
        <v>4.2706630289885368</v>
      </c>
      <c r="U237" s="1034">
        <f t="shared" si="70"/>
        <v>21.353315144942684</v>
      </c>
      <c r="V237" s="1034">
        <f t="shared" si="70"/>
        <v>0</v>
      </c>
      <c r="W237" s="1035">
        <f t="shared" si="70"/>
        <v>1.2811989086965609</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4341.1729138260207</v>
      </c>
      <c r="L238" s="518">
        <f t="shared" si="76"/>
        <v>0.5</v>
      </c>
      <c r="M238" s="518">
        <f t="shared" si="76"/>
        <v>0.5</v>
      </c>
      <c r="N238" s="12">
        <f t="shared" si="77"/>
        <v>0</v>
      </c>
      <c r="O238" s="12">
        <f t="shared" si="77"/>
        <v>0</v>
      </c>
      <c r="P238" s="690">
        <f t="shared" si="67"/>
        <v>1.7364691655304083</v>
      </c>
      <c r="Q238" s="465">
        <f t="shared" si="68"/>
        <v>8.6823458276520409</v>
      </c>
      <c r="R238" s="12"/>
      <c r="S238" s="1044">
        <f t="shared" si="69"/>
        <v>0.52094074965912252</v>
      </c>
      <c r="T238" s="1033">
        <f t="shared" si="70"/>
        <v>4.31153335177624</v>
      </c>
      <c r="U238" s="1034">
        <f t="shared" si="70"/>
        <v>21.557666758881197</v>
      </c>
      <c r="V238" s="1034">
        <f t="shared" si="70"/>
        <v>0</v>
      </c>
      <c r="W238" s="1035">
        <f t="shared" si="70"/>
        <v>1.293460005532872</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4444.0310736329275</v>
      </c>
      <c r="L239" s="518">
        <f t="shared" si="76"/>
        <v>0.5</v>
      </c>
      <c r="M239" s="518">
        <f t="shared" si="76"/>
        <v>0.5</v>
      </c>
      <c r="N239" s="12">
        <f t="shared" si="77"/>
        <v>0</v>
      </c>
      <c r="O239" s="12">
        <f t="shared" si="77"/>
        <v>0</v>
      </c>
      <c r="P239" s="690">
        <f t="shared" si="67"/>
        <v>1.777612429453171</v>
      </c>
      <c r="Q239" s="465">
        <f t="shared" si="68"/>
        <v>8.8880621472658543</v>
      </c>
      <c r="R239" s="12"/>
      <c r="S239" s="1044">
        <f t="shared" si="69"/>
        <v>0.53328372883595121</v>
      </c>
      <c r="T239" s="1033">
        <f t="shared" si="70"/>
        <v>4.3526766156990027</v>
      </c>
      <c r="U239" s="1034">
        <f t="shared" si="70"/>
        <v>21.763383078495011</v>
      </c>
      <c r="V239" s="1034">
        <f t="shared" si="70"/>
        <v>0</v>
      </c>
      <c r="W239" s="1035">
        <f t="shared" si="70"/>
        <v>1.3058029847097008</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4549.242603331425</v>
      </c>
      <c r="L240" s="518">
        <f t="shared" ref="L240:M250" si="79">L239</f>
        <v>0.5</v>
      </c>
      <c r="M240" s="518">
        <f t="shared" si="79"/>
        <v>0.5</v>
      </c>
      <c r="N240" s="12">
        <f t="shared" si="77"/>
        <v>0</v>
      </c>
      <c r="O240" s="12">
        <f t="shared" si="77"/>
        <v>0</v>
      </c>
      <c r="P240" s="690">
        <f t="shared" si="67"/>
        <v>1.8196970413325702</v>
      </c>
      <c r="Q240" s="465">
        <f t="shared" si="68"/>
        <v>9.0984852066628505</v>
      </c>
      <c r="R240" s="12"/>
      <c r="S240" s="1044">
        <f t="shared" si="69"/>
        <v>0.54590911239977091</v>
      </c>
      <c r="T240" s="1033">
        <f t="shared" si="70"/>
        <v>4.3947612275784023</v>
      </c>
      <c r="U240" s="1034">
        <f t="shared" si="70"/>
        <v>21.973806137892009</v>
      </c>
      <c r="V240" s="1034">
        <f t="shared" si="70"/>
        <v>0</v>
      </c>
      <c r="W240" s="1035">
        <f t="shared" si="70"/>
        <v>1.3184283682735205</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4658.452026609255</v>
      </c>
      <c r="L241" s="518">
        <f t="shared" si="79"/>
        <v>0.5</v>
      </c>
      <c r="M241" s="518">
        <f t="shared" si="79"/>
        <v>0.5</v>
      </c>
      <c r="N241" s="12">
        <f t="shared" si="77"/>
        <v>0</v>
      </c>
      <c r="O241" s="12">
        <f t="shared" si="77"/>
        <v>0</v>
      </c>
      <c r="P241" s="690">
        <f t="shared" si="67"/>
        <v>1.863380810643702</v>
      </c>
      <c r="Q241" s="465">
        <f t="shared" si="68"/>
        <v>9.3169040532185097</v>
      </c>
      <c r="R241" s="12"/>
      <c r="S241" s="1044">
        <f t="shared" si="69"/>
        <v>0.55901424319311055</v>
      </c>
      <c r="T241" s="1033">
        <f t="shared" si="70"/>
        <v>4.4384449968895341</v>
      </c>
      <c r="U241" s="1034">
        <f t="shared" si="70"/>
        <v>22.19222498444767</v>
      </c>
      <c r="V241" s="1034">
        <f t="shared" si="70"/>
        <v>0</v>
      </c>
      <c r="W241" s="1035">
        <f t="shared" si="70"/>
        <v>1.3315334990668601</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4763.4596201901322</v>
      </c>
      <c r="L242" s="518">
        <f t="shared" si="79"/>
        <v>0.5</v>
      </c>
      <c r="M242" s="518">
        <f t="shared" si="79"/>
        <v>0.5</v>
      </c>
      <c r="N242" s="12">
        <f t="shared" si="77"/>
        <v>0</v>
      </c>
      <c r="O242" s="12">
        <f t="shared" si="77"/>
        <v>0</v>
      </c>
      <c r="P242" s="690">
        <f t="shared" si="67"/>
        <v>1.905383848076053</v>
      </c>
      <c r="Q242" s="465">
        <f t="shared" si="68"/>
        <v>9.5269192403802645</v>
      </c>
      <c r="R242" s="12"/>
      <c r="S242" s="1044">
        <f t="shared" si="69"/>
        <v>0.57161515442281585</v>
      </c>
      <c r="T242" s="1033">
        <f t="shared" si="70"/>
        <v>4.4804480343218849</v>
      </c>
      <c r="U242" s="1034">
        <f t="shared" si="70"/>
        <v>22.402240171609421</v>
      </c>
      <c r="V242" s="1034">
        <f t="shared" si="70"/>
        <v>0</v>
      </c>
      <c r="W242" s="1035">
        <f t="shared" si="70"/>
        <v>1.3441344102965653</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4871.4474578321506</v>
      </c>
      <c r="L243" s="518">
        <f t="shared" si="79"/>
        <v>0.5</v>
      </c>
      <c r="M243" s="518">
        <f t="shared" si="79"/>
        <v>0.5</v>
      </c>
      <c r="N243" s="12">
        <f t="shared" si="77"/>
        <v>0</v>
      </c>
      <c r="O243" s="12">
        <f t="shared" si="77"/>
        <v>0</v>
      </c>
      <c r="P243" s="690">
        <f t="shared" si="67"/>
        <v>1.9485789831328602</v>
      </c>
      <c r="Q243" s="465">
        <f t="shared" si="68"/>
        <v>9.7428949156643014</v>
      </c>
      <c r="R243" s="12"/>
      <c r="S243" s="1044">
        <f t="shared" si="69"/>
        <v>0.584573694939858</v>
      </c>
      <c r="T243" s="1033">
        <f t="shared" si="70"/>
        <v>4.5236431693786923</v>
      </c>
      <c r="U243" s="1034">
        <f t="shared" si="70"/>
        <v>22.61821584689346</v>
      </c>
      <c r="V243" s="1034">
        <f t="shared" si="70"/>
        <v>0</v>
      </c>
      <c r="W243" s="1035">
        <f t="shared" si="70"/>
        <v>1.3570929508136076</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4983.6817890261063</v>
      </c>
      <c r="L244" s="518">
        <f t="shared" si="79"/>
        <v>0.5</v>
      </c>
      <c r="M244" s="518">
        <f t="shared" si="79"/>
        <v>0.5</v>
      </c>
      <c r="N244" s="12">
        <f t="shared" si="77"/>
        <v>0</v>
      </c>
      <c r="O244" s="12">
        <f t="shared" si="77"/>
        <v>0</v>
      </c>
      <c r="P244" s="690">
        <f t="shared" si="67"/>
        <v>1.9934727156104428</v>
      </c>
      <c r="Q244" s="465">
        <f t="shared" si="68"/>
        <v>9.967363578052213</v>
      </c>
      <c r="R244" s="12"/>
      <c r="S244" s="1044">
        <f t="shared" si="69"/>
        <v>0.59804181468313278</v>
      </c>
      <c r="T244" s="1033">
        <f t="shared" si="70"/>
        <v>4.5685369018562749</v>
      </c>
      <c r="U244" s="1034">
        <f t="shared" si="70"/>
        <v>22.842684509281369</v>
      </c>
      <c r="V244" s="1034">
        <f t="shared" si="70"/>
        <v>0</v>
      </c>
      <c r="W244" s="1035">
        <f t="shared" si="70"/>
        <v>1.3705610705568823</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5100.203908457429</v>
      </c>
      <c r="L245" s="518">
        <f t="shared" si="79"/>
        <v>0.5</v>
      </c>
      <c r="M245" s="518">
        <f t="shared" si="79"/>
        <v>0.5</v>
      </c>
      <c r="N245" s="12">
        <f t="shared" si="77"/>
        <v>0</v>
      </c>
      <c r="O245" s="12">
        <f t="shared" si="77"/>
        <v>0</v>
      </c>
      <c r="P245" s="690">
        <f t="shared" si="67"/>
        <v>2.0400815633829716</v>
      </c>
      <c r="Q245" s="465">
        <f t="shared" si="68"/>
        <v>10.200407816914858</v>
      </c>
      <c r="R245" s="12"/>
      <c r="S245" s="1044">
        <f t="shared" si="69"/>
        <v>0.61202446901489149</v>
      </c>
      <c r="T245" s="1033">
        <f t="shared" si="70"/>
        <v>4.6151457496288035</v>
      </c>
      <c r="U245" s="1034">
        <f t="shared" si="70"/>
        <v>23.075728748144016</v>
      </c>
      <c r="V245" s="1034">
        <f t="shared" si="70"/>
        <v>0</v>
      </c>
      <c r="W245" s="1035">
        <f t="shared" si="70"/>
        <v>1.384543724888641</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5217.0541904040911</v>
      </c>
      <c r="L246" s="518">
        <f t="shared" si="79"/>
        <v>0.5</v>
      </c>
      <c r="M246" s="518">
        <f t="shared" si="79"/>
        <v>0.5</v>
      </c>
      <c r="N246" s="12">
        <f t="shared" si="77"/>
        <v>0</v>
      </c>
      <c r="O246" s="12">
        <f t="shared" si="77"/>
        <v>0</v>
      </c>
      <c r="P246" s="690">
        <f t="shared" si="67"/>
        <v>2.0868216761616365</v>
      </c>
      <c r="Q246" s="465">
        <f t="shared" si="68"/>
        <v>10.434108380808182</v>
      </c>
      <c r="R246" s="12"/>
      <c r="S246" s="1044">
        <f t="shared" si="69"/>
        <v>0.62604650284849095</v>
      </c>
      <c r="T246" s="1033">
        <f t="shared" si="70"/>
        <v>4.6618858624074679</v>
      </c>
      <c r="U246" s="1034">
        <f t="shared" si="70"/>
        <v>23.309429312037338</v>
      </c>
      <c r="V246" s="1034">
        <f t="shared" si="70"/>
        <v>0</v>
      </c>
      <c r="W246" s="1035">
        <f t="shared" si="70"/>
        <v>1.3985657587222404</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5243.2755347882812</v>
      </c>
      <c r="L247" s="518">
        <f t="shared" si="79"/>
        <v>0.5</v>
      </c>
      <c r="M247" s="518">
        <f t="shared" si="79"/>
        <v>0.5</v>
      </c>
      <c r="N247" s="12">
        <f t="shared" si="77"/>
        <v>0</v>
      </c>
      <c r="O247" s="12">
        <f t="shared" si="77"/>
        <v>0</v>
      </c>
      <c r="P247" s="690">
        <f t="shared" si="67"/>
        <v>2.0973102139153124</v>
      </c>
      <c r="Q247" s="465">
        <f t="shared" si="68"/>
        <v>10.486551069576562</v>
      </c>
      <c r="R247" s="12"/>
      <c r="S247" s="1044">
        <f t="shared" si="69"/>
        <v>0.62919306417459375</v>
      </c>
      <c r="T247" s="1033">
        <f t="shared" si="70"/>
        <v>4.6723744001611447</v>
      </c>
      <c r="U247" s="1034">
        <f t="shared" si="70"/>
        <v>23.361872000805718</v>
      </c>
      <c r="V247" s="1034">
        <f t="shared" si="70"/>
        <v>0</v>
      </c>
      <c r="W247" s="1035">
        <f t="shared" si="70"/>
        <v>1.4017123200483432</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5258.9439907476335</v>
      </c>
      <c r="L248" s="518">
        <f t="shared" si="79"/>
        <v>0.5</v>
      </c>
      <c r="M248" s="518">
        <f t="shared" si="79"/>
        <v>0.5</v>
      </c>
      <c r="N248" s="12">
        <f t="shared" si="77"/>
        <v>0</v>
      </c>
      <c r="O248" s="12">
        <f t="shared" si="77"/>
        <v>0</v>
      </c>
      <c r="P248" s="690">
        <f t="shared" si="67"/>
        <v>2.1035775962990533</v>
      </c>
      <c r="Q248" s="465">
        <f t="shared" si="68"/>
        <v>10.517887981495267</v>
      </c>
      <c r="R248" s="12"/>
      <c r="S248" s="1044">
        <f t="shared" si="69"/>
        <v>0.63107327888971598</v>
      </c>
      <c r="T248" s="1033">
        <f t="shared" si="70"/>
        <v>4.6786417825448847</v>
      </c>
      <c r="U248" s="1034">
        <f t="shared" si="70"/>
        <v>23.393208912724425</v>
      </c>
      <c r="V248" s="1034">
        <f t="shared" si="70"/>
        <v>0</v>
      </c>
      <c r="W248" s="1035">
        <f t="shared" si="70"/>
        <v>1.4035925347634655</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5275.1601987700142</v>
      </c>
      <c r="L249" s="518">
        <f t="shared" si="79"/>
        <v>0.5</v>
      </c>
      <c r="M249" s="518">
        <f t="shared" si="79"/>
        <v>0.5</v>
      </c>
      <c r="N249" s="12">
        <f t="shared" si="77"/>
        <v>0</v>
      </c>
      <c r="O249" s="12">
        <f t="shared" si="77"/>
        <v>0</v>
      </c>
      <c r="P249" s="690">
        <f t="shared" si="67"/>
        <v>2.1100640795080059</v>
      </c>
      <c r="Q249" s="465">
        <f t="shared" si="68"/>
        <v>10.550320397540029</v>
      </c>
      <c r="R249" s="12"/>
      <c r="S249" s="1044">
        <f t="shared" si="69"/>
        <v>0.63301922385240161</v>
      </c>
      <c r="T249" s="1033">
        <f t="shared" si="70"/>
        <v>4.6851282657538373</v>
      </c>
      <c r="U249" s="1034">
        <f t="shared" si="70"/>
        <v>23.425641328769188</v>
      </c>
      <c r="V249" s="1034">
        <f t="shared" si="70"/>
        <v>0</v>
      </c>
      <c r="W249" s="1035">
        <f t="shared" si="70"/>
        <v>1.4055384797261512</v>
      </c>
    </row>
    <row r="250" spans="1:23" ht="1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5287.0208083773005</v>
      </c>
      <c r="L250" s="520">
        <f t="shared" si="79"/>
        <v>0.5</v>
      </c>
      <c r="M250" s="520">
        <f t="shared" si="79"/>
        <v>0.5</v>
      </c>
      <c r="N250" s="1045">
        <f t="shared" ref="N250:O250" si="80">N112</f>
        <v>0</v>
      </c>
      <c r="O250" s="1045">
        <f t="shared" si="80"/>
        <v>0</v>
      </c>
      <c r="P250" s="1046">
        <f t="shared" si="67"/>
        <v>2.1148083233509203</v>
      </c>
      <c r="Q250" s="988">
        <f t="shared" si="68"/>
        <v>10.574041616754601</v>
      </c>
      <c r="R250" s="1045"/>
      <c r="S250" s="1047">
        <f t="shared" si="69"/>
        <v>0.634442497005276</v>
      </c>
      <c r="T250" s="1048">
        <f t="shared" si="70"/>
        <v>4.6898725095967517</v>
      </c>
      <c r="U250" s="1049">
        <f t="shared" si="70"/>
        <v>23.44936254798376</v>
      </c>
      <c r="V250" s="1049">
        <f t="shared" si="70"/>
        <v>0</v>
      </c>
      <c r="W250" s="1050">
        <f t="shared" si="70"/>
        <v>1.4069617528790255</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2562.5510023172546</v>
      </c>
      <c r="L253" s="518">
        <f>($L$256-$L$80)/($A$256-$A$80)+L252</f>
        <v>0.26</v>
      </c>
      <c r="M253" s="518">
        <f t="shared" ref="M253:M284" si="90">1-L253</f>
        <v>0.74</v>
      </c>
      <c r="N253" s="12">
        <f t="shared" si="81"/>
        <v>0</v>
      </c>
      <c r="O253" s="12">
        <f t="shared" si="81"/>
        <v>0</v>
      </c>
      <c r="P253" s="690">
        <f t="shared" si="82"/>
        <v>0.533010608481989</v>
      </c>
      <c r="Q253" s="465">
        <f t="shared" si="83"/>
        <v>7.5851509668590733</v>
      </c>
      <c r="R253" s="12"/>
      <c r="S253" s="1044">
        <f t="shared" si="84"/>
        <v>0.45510905801154439</v>
      </c>
      <c r="T253" s="1033">
        <f t="shared" si="85"/>
        <v>1.2710110729266071</v>
      </c>
      <c r="U253" s="1034">
        <f t="shared" si="85"/>
        <v>19.938637002127678</v>
      </c>
      <c r="V253" s="1034">
        <f t="shared" si="85"/>
        <v>0</v>
      </c>
      <c r="W253" s="1035">
        <f t="shared" si="85"/>
        <v>1.1963182201276605</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2582.9210795159115</v>
      </c>
      <c r="L254" s="518">
        <f t="shared" ref="L254:L255" si="92">($L$256-$L$80)/($A$256-$A$80)+L253</f>
        <v>0.34</v>
      </c>
      <c r="M254" s="518">
        <f t="shared" si="90"/>
        <v>0.65999999999999992</v>
      </c>
      <c r="N254" s="12">
        <f t="shared" si="81"/>
        <v>0</v>
      </c>
      <c r="O254" s="12">
        <f t="shared" si="81"/>
        <v>0</v>
      </c>
      <c r="P254" s="690">
        <f t="shared" si="82"/>
        <v>0.70255453362832798</v>
      </c>
      <c r="Q254" s="465">
        <f t="shared" si="83"/>
        <v>6.818911649922005</v>
      </c>
      <c r="R254" s="12"/>
      <c r="S254" s="1044">
        <f t="shared" si="84"/>
        <v>0.40913469899532035</v>
      </c>
      <c r="T254" s="1033">
        <f t="shared" si="85"/>
        <v>1.8846522445872624</v>
      </c>
      <c r="U254" s="1034">
        <f t="shared" si="85"/>
        <v>19.378699828860682</v>
      </c>
      <c r="V254" s="1034">
        <f t="shared" si="85"/>
        <v>0</v>
      </c>
      <c r="W254" s="1035">
        <f t="shared" si="85"/>
        <v>1.162721989731641</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2953.515836548303</v>
      </c>
      <c r="L255" s="518">
        <f t="shared" si="92"/>
        <v>0.42000000000000004</v>
      </c>
      <c r="M255" s="518">
        <f t="shared" si="90"/>
        <v>0.57999999999999996</v>
      </c>
      <c r="N255" s="12">
        <f t="shared" si="81"/>
        <v>0</v>
      </c>
      <c r="O255" s="12">
        <f t="shared" si="81"/>
        <v>0</v>
      </c>
      <c r="P255" s="690">
        <f t="shared" si="82"/>
        <v>0.99238132108023003</v>
      </c>
      <c r="Q255" s="465">
        <f t="shared" si="83"/>
        <v>6.8521567407920632</v>
      </c>
      <c r="R255" s="12"/>
      <c r="S255" s="1044">
        <f t="shared" si="84"/>
        <v>0.41112940444752377</v>
      </c>
      <c r="T255" s="1033">
        <f t="shared" si="85"/>
        <v>2.9049373069499969</v>
      </c>
      <c r="U255" s="1034">
        <f t="shared" si="85"/>
        <v>20.613230297659893</v>
      </c>
      <c r="V255" s="1034">
        <f t="shared" si="85"/>
        <v>0</v>
      </c>
      <c r="W255" s="1035">
        <f t="shared" si="85"/>
        <v>1.2367938178595934</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3151.9670848679066</v>
      </c>
      <c r="L256" s="518">
        <f>'Recycling - Case 3'!G31</f>
        <v>0.5</v>
      </c>
      <c r="M256" s="518">
        <f t="shared" si="90"/>
        <v>0.5</v>
      </c>
      <c r="N256" s="12">
        <f t="shared" si="81"/>
        <v>0</v>
      </c>
      <c r="O256" s="12">
        <f t="shared" si="81"/>
        <v>0</v>
      </c>
      <c r="P256" s="690">
        <f t="shared" si="82"/>
        <v>1.2607868339471626</v>
      </c>
      <c r="Q256" s="465">
        <f t="shared" si="83"/>
        <v>6.3039341697358129</v>
      </c>
      <c r="R256" s="12"/>
      <c r="S256" s="1044">
        <f t="shared" si="84"/>
        <v>0.3782360501841488</v>
      </c>
      <c r="T256" s="1033">
        <f t="shared" si="85"/>
        <v>3.8358510201929947</v>
      </c>
      <c r="U256" s="1034">
        <f t="shared" si="85"/>
        <v>19.179255100964973</v>
      </c>
      <c r="V256" s="1034">
        <f t="shared" si="85"/>
        <v>0</v>
      </c>
      <c r="W256" s="1035">
        <f t="shared" si="85"/>
        <v>1.1507553060578983</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3194.4586745285919</v>
      </c>
      <c r="L257" s="518">
        <f>L256</f>
        <v>0.5</v>
      </c>
      <c r="M257" s="518">
        <f t="shared" si="90"/>
        <v>0.5</v>
      </c>
      <c r="N257" s="12">
        <f t="shared" si="81"/>
        <v>0</v>
      </c>
      <c r="O257" s="12">
        <f t="shared" si="81"/>
        <v>0</v>
      </c>
      <c r="P257" s="690">
        <f t="shared" si="82"/>
        <v>1.2777834698114368</v>
      </c>
      <c r="Q257" s="465">
        <f t="shared" si="83"/>
        <v>6.3889173490571842</v>
      </c>
      <c r="R257" s="12"/>
      <c r="S257" s="1044">
        <f t="shared" si="84"/>
        <v>0.38333504094343102</v>
      </c>
      <c r="T257" s="1033">
        <f t="shared" si="85"/>
        <v>3.8528476560572686</v>
      </c>
      <c r="U257" s="1034">
        <f t="shared" si="85"/>
        <v>19.264238280286342</v>
      </c>
      <c r="V257" s="1034">
        <f t="shared" si="85"/>
        <v>0</v>
      </c>
      <c r="W257" s="1035">
        <f t="shared" si="85"/>
        <v>1.1558542968171805</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3241.8415741695385</v>
      </c>
      <c r="L258" s="518">
        <f t="shared" ref="L258:L284" si="94">L257</f>
        <v>0.5</v>
      </c>
      <c r="M258" s="518">
        <f t="shared" si="90"/>
        <v>0.5</v>
      </c>
      <c r="N258" s="12">
        <f t="shared" si="81"/>
        <v>0</v>
      </c>
      <c r="O258" s="12">
        <f t="shared" si="81"/>
        <v>0</v>
      </c>
      <c r="P258" s="690">
        <f t="shared" si="82"/>
        <v>1.2967366296678156</v>
      </c>
      <c r="Q258" s="465">
        <f t="shared" si="83"/>
        <v>6.4836831483390771</v>
      </c>
      <c r="R258" s="12"/>
      <c r="S258" s="1044">
        <f t="shared" si="84"/>
        <v>0.38902098890034459</v>
      </c>
      <c r="T258" s="1033">
        <f t="shared" si="85"/>
        <v>3.8718008159136472</v>
      </c>
      <c r="U258" s="1034">
        <f t="shared" si="85"/>
        <v>19.359004079568237</v>
      </c>
      <c r="V258" s="1034">
        <f t="shared" si="85"/>
        <v>0</v>
      </c>
      <c r="W258" s="1035">
        <f t="shared" si="85"/>
        <v>1.1615402447740941</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3295.5782878286518</v>
      </c>
      <c r="L259" s="518">
        <f t="shared" si="94"/>
        <v>0.5</v>
      </c>
      <c r="M259" s="518">
        <f t="shared" si="90"/>
        <v>0.5</v>
      </c>
      <c r="N259" s="12">
        <f t="shared" si="81"/>
        <v>0</v>
      </c>
      <c r="O259" s="12">
        <f t="shared" si="81"/>
        <v>0</v>
      </c>
      <c r="P259" s="690">
        <f t="shared" si="82"/>
        <v>1.3182313151314609</v>
      </c>
      <c r="Q259" s="465">
        <f t="shared" si="83"/>
        <v>6.5911565756573038</v>
      </c>
      <c r="R259" s="12"/>
      <c r="S259" s="1044">
        <f t="shared" si="84"/>
        <v>0.39546939453943819</v>
      </c>
      <c r="T259" s="1033">
        <f t="shared" si="85"/>
        <v>3.8932955013772927</v>
      </c>
      <c r="U259" s="1034">
        <f t="shared" si="85"/>
        <v>19.466477506886463</v>
      </c>
      <c r="V259" s="1034">
        <f t="shared" si="85"/>
        <v>0</v>
      </c>
      <c r="W259" s="1035">
        <f t="shared" si="85"/>
        <v>1.1679886504131876</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3352.1643896886117</v>
      </c>
      <c r="L260" s="518">
        <f t="shared" si="94"/>
        <v>0.5</v>
      </c>
      <c r="M260" s="518">
        <f t="shared" si="90"/>
        <v>0.5</v>
      </c>
      <c r="N260" s="12">
        <f t="shared" si="81"/>
        <v>0</v>
      </c>
      <c r="O260" s="12">
        <f t="shared" si="81"/>
        <v>0</v>
      </c>
      <c r="P260" s="690">
        <f t="shared" si="82"/>
        <v>1.3408657558754449</v>
      </c>
      <c r="Q260" s="465">
        <f t="shared" si="83"/>
        <v>6.7043287793772235</v>
      </c>
      <c r="R260" s="12"/>
      <c r="S260" s="1044">
        <f t="shared" si="84"/>
        <v>0.40225972676263339</v>
      </c>
      <c r="T260" s="1033">
        <f t="shared" si="85"/>
        <v>3.9159299421212768</v>
      </c>
      <c r="U260" s="1034">
        <f t="shared" si="85"/>
        <v>19.579649710606382</v>
      </c>
      <c r="V260" s="1034">
        <f t="shared" si="85"/>
        <v>0</v>
      </c>
      <c r="W260" s="1035">
        <f t="shared" si="85"/>
        <v>1.1747789826363828</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3413.4690396132614</v>
      </c>
      <c r="L261" s="518">
        <f t="shared" si="94"/>
        <v>0.5</v>
      </c>
      <c r="M261" s="518">
        <f t="shared" si="90"/>
        <v>0.5</v>
      </c>
      <c r="N261" s="12">
        <f t="shared" si="81"/>
        <v>0</v>
      </c>
      <c r="O261" s="12">
        <f t="shared" si="81"/>
        <v>0</v>
      </c>
      <c r="P261" s="690">
        <f t="shared" si="82"/>
        <v>1.3653876158453047</v>
      </c>
      <c r="Q261" s="465">
        <f t="shared" si="83"/>
        <v>6.8269380792265233</v>
      </c>
      <c r="R261" s="12"/>
      <c r="S261" s="1044">
        <f t="shared" si="84"/>
        <v>0.40961628475359135</v>
      </c>
      <c r="T261" s="1033">
        <f t="shared" si="85"/>
        <v>3.9404518020911365</v>
      </c>
      <c r="U261" s="1034">
        <f t="shared" si="85"/>
        <v>19.702259010455681</v>
      </c>
      <c r="V261" s="1034">
        <f t="shared" si="85"/>
        <v>0</v>
      </c>
      <c r="W261" s="1035">
        <f t="shared" si="85"/>
        <v>1.1821355406273408</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3474.2495868371143</v>
      </c>
      <c r="L262" s="518">
        <f t="shared" si="94"/>
        <v>0.5</v>
      </c>
      <c r="M262" s="518">
        <f t="shared" si="90"/>
        <v>0.5</v>
      </c>
      <c r="N262" s="12">
        <f t="shared" si="81"/>
        <v>0</v>
      </c>
      <c r="O262" s="12">
        <f t="shared" si="81"/>
        <v>0</v>
      </c>
      <c r="P262" s="690">
        <f t="shared" si="82"/>
        <v>1.3896998347348457</v>
      </c>
      <c r="Q262" s="465">
        <f t="shared" si="83"/>
        <v>6.9484991736742288</v>
      </c>
      <c r="R262" s="12"/>
      <c r="S262" s="1044">
        <f t="shared" si="84"/>
        <v>0.4169099504204537</v>
      </c>
      <c r="T262" s="1033">
        <f t="shared" si="85"/>
        <v>3.9647640209806774</v>
      </c>
      <c r="U262" s="1034">
        <f t="shared" si="85"/>
        <v>19.823820104903387</v>
      </c>
      <c r="V262" s="1034">
        <f t="shared" si="85"/>
        <v>0</v>
      </c>
      <c r="W262" s="1035">
        <f t="shared" si="85"/>
        <v>1.1894292062942031</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3539.5837004803343</v>
      </c>
      <c r="L263" s="518">
        <f t="shared" si="94"/>
        <v>0.5</v>
      </c>
      <c r="M263" s="518">
        <f t="shared" si="90"/>
        <v>0.5</v>
      </c>
      <c r="N263" s="12">
        <f t="shared" si="81"/>
        <v>0</v>
      </c>
      <c r="O263" s="12">
        <f t="shared" si="81"/>
        <v>0</v>
      </c>
      <c r="P263" s="690">
        <f t="shared" si="82"/>
        <v>1.4158334801921337</v>
      </c>
      <c r="Q263" s="465">
        <f t="shared" si="83"/>
        <v>7.0791674009606682</v>
      </c>
      <c r="R263" s="12"/>
      <c r="S263" s="1044">
        <f t="shared" si="84"/>
        <v>0.42475004405764011</v>
      </c>
      <c r="T263" s="1033">
        <f t="shared" si="85"/>
        <v>3.9908976664379656</v>
      </c>
      <c r="U263" s="1034">
        <f t="shared" si="85"/>
        <v>19.954488332189825</v>
      </c>
      <c r="V263" s="1034">
        <f t="shared" si="85"/>
        <v>0</v>
      </c>
      <c r="W263" s="1035">
        <f t="shared" si="85"/>
        <v>1.1972692999313896</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3604.9206439543955</v>
      </c>
      <c r="L264" s="518">
        <f t="shared" si="94"/>
        <v>0.5</v>
      </c>
      <c r="M264" s="518">
        <f t="shared" si="90"/>
        <v>0.5</v>
      </c>
      <c r="N264" s="12">
        <f t="shared" si="81"/>
        <v>0</v>
      </c>
      <c r="O264" s="12">
        <f t="shared" si="81"/>
        <v>0</v>
      </c>
      <c r="P264" s="690">
        <f t="shared" si="82"/>
        <v>1.4419682575817583</v>
      </c>
      <c r="Q264" s="465">
        <f t="shared" si="83"/>
        <v>7.209841287908791</v>
      </c>
      <c r="R264" s="12"/>
      <c r="S264" s="1044">
        <f t="shared" si="84"/>
        <v>0.43259047727452743</v>
      </c>
      <c r="T264" s="1033">
        <f t="shared" si="85"/>
        <v>4.0170324438275902</v>
      </c>
      <c r="U264" s="1034">
        <f t="shared" si="85"/>
        <v>20.085162219137949</v>
      </c>
      <c r="V264" s="1034">
        <f t="shared" si="85"/>
        <v>0</v>
      </c>
      <c r="W264" s="1035">
        <f t="shared" si="85"/>
        <v>1.205109733148277</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3681.3674299410918</v>
      </c>
      <c r="L265" s="518">
        <f t="shared" si="94"/>
        <v>0.5</v>
      </c>
      <c r="M265" s="518">
        <f t="shared" si="90"/>
        <v>0.5</v>
      </c>
      <c r="N265" s="12">
        <f t="shared" si="81"/>
        <v>0</v>
      </c>
      <c r="O265" s="12">
        <f t="shared" si="81"/>
        <v>0</v>
      </c>
      <c r="P265" s="690">
        <f t="shared" si="82"/>
        <v>1.4725469719764368</v>
      </c>
      <c r="Q265" s="465">
        <f t="shared" si="83"/>
        <v>7.3627348598821838</v>
      </c>
      <c r="R265" s="12"/>
      <c r="S265" s="1044">
        <f t="shared" si="84"/>
        <v>0.44176409159293101</v>
      </c>
      <c r="T265" s="1033">
        <f t="shared" si="85"/>
        <v>4.0476111582222689</v>
      </c>
      <c r="U265" s="1034">
        <f t="shared" si="85"/>
        <v>20.238055791111343</v>
      </c>
      <c r="V265" s="1034">
        <f t="shared" si="85"/>
        <v>0</v>
      </c>
      <c r="W265" s="1035">
        <f t="shared" si="85"/>
        <v>1.2142833474666805</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3762.1138340559442</v>
      </c>
      <c r="L266" s="518">
        <f t="shared" si="94"/>
        <v>0.5</v>
      </c>
      <c r="M266" s="518">
        <f t="shared" si="90"/>
        <v>0.5</v>
      </c>
      <c r="N266" s="12">
        <f t="shared" si="81"/>
        <v>0</v>
      </c>
      <c r="O266" s="12">
        <f t="shared" si="81"/>
        <v>0</v>
      </c>
      <c r="P266" s="690">
        <f t="shared" si="82"/>
        <v>1.5048455336223778</v>
      </c>
      <c r="Q266" s="465">
        <f t="shared" si="83"/>
        <v>7.5242276681118883</v>
      </c>
      <c r="R266" s="12"/>
      <c r="S266" s="1044">
        <f t="shared" si="84"/>
        <v>0.45145366008671328</v>
      </c>
      <c r="T266" s="1033">
        <f t="shared" si="85"/>
        <v>4.0799097198682102</v>
      </c>
      <c r="U266" s="1034">
        <f t="shared" si="85"/>
        <v>20.399548599341045</v>
      </c>
      <c r="V266" s="1034">
        <f t="shared" si="85"/>
        <v>0</v>
      </c>
      <c r="W266" s="1035">
        <f t="shared" si="85"/>
        <v>1.2239729159604629</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3846.8426928164727</v>
      </c>
      <c r="L267" s="518">
        <f t="shared" si="94"/>
        <v>0.5</v>
      </c>
      <c r="M267" s="518">
        <f t="shared" si="90"/>
        <v>0.5</v>
      </c>
      <c r="N267" s="12">
        <f t="shared" si="81"/>
        <v>0</v>
      </c>
      <c r="O267" s="12">
        <f t="shared" si="81"/>
        <v>0</v>
      </c>
      <c r="P267" s="690">
        <f t="shared" si="82"/>
        <v>1.5387370771265891</v>
      </c>
      <c r="Q267" s="465">
        <f t="shared" si="83"/>
        <v>7.6936853856329455</v>
      </c>
      <c r="R267" s="12"/>
      <c r="S267" s="1044">
        <f t="shared" si="84"/>
        <v>0.46162112313797671</v>
      </c>
      <c r="T267" s="1033">
        <f t="shared" si="85"/>
        <v>4.1138012633724212</v>
      </c>
      <c r="U267" s="1034">
        <f t="shared" si="85"/>
        <v>20.569006316862104</v>
      </c>
      <c r="V267" s="1034">
        <f t="shared" si="85"/>
        <v>0</v>
      </c>
      <c r="W267" s="1035">
        <f t="shared" si="85"/>
        <v>1.2341403790117262</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3942.6229713368125</v>
      </c>
      <c r="L268" s="518">
        <f t="shared" si="94"/>
        <v>0.5</v>
      </c>
      <c r="M268" s="518">
        <f t="shared" si="90"/>
        <v>0.5</v>
      </c>
      <c r="N268" s="12">
        <f t="shared" ref="N268:O283" si="95">N130</f>
        <v>0</v>
      </c>
      <c r="O268" s="12">
        <f t="shared" si="95"/>
        <v>0</v>
      </c>
      <c r="P268" s="690">
        <f t="shared" si="82"/>
        <v>1.5770491885347251</v>
      </c>
      <c r="Q268" s="465">
        <f t="shared" si="83"/>
        <v>7.8852459426736248</v>
      </c>
      <c r="R268" s="12"/>
      <c r="S268" s="1044">
        <f t="shared" si="84"/>
        <v>0.47311475656041752</v>
      </c>
      <c r="T268" s="1033">
        <f t="shared" si="85"/>
        <v>4.1521133747805568</v>
      </c>
      <c r="U268" s="1034">
        <f t="shared" si="85"/>
        <v>20.760566873902782</v>
      </c>
      <c r="V268" s="1034">
        <f t="shared" si="85"/>
        <v>0</v>
      </c>
      <c r="W268" s="1035">
        <f t="shared" si="85"/>
        <v>1.2456340124341669</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4033.9571187491515</v>
      </c>
      <c r="L269" s="518">
        <f t="shared" si="94"/>
        <v>0.5</v>
      </c>
      <c r="M269" s="518">
        <f t="shared" si="90"/>
        <v>0.5</v>
      </c>
      <c r="N269" s="12">
        <f t="shared" si="95"/>
        <v>0</v>
      </c>
      <c r="O269" s="12">
        <f t="shared" si="95"/>
        <v>0</v>
      </c>
      <c r="P269" s="690">
        <f t="shared" si="82"/>
        <v>1.6135828474996605</v>
      </c>
      <c r="Q269" s="465">
        <f t="shared" si="83"/>
        <v>8.0679142374983037</v>
      </c>
      <c r="R269" s="12"/>
      <c r="S269" s="1044">
        <f t="shared" si="84"/>
        <v>0.48407485424989816</v>
      </c>
      <c r="T269" s="1033">
        <f t="shared" si="85"/>
        <v>4.1886470337454922</v>
      </c>
      <c r="U269" s="1034">
        <f t="shared" si="85"/>
        <v>20.943235168727462</v>
      </c>
      <c r="V269" s="1034">
        <f t="shared" si="85"/>
        <v>0</v>
      </c>
      <c r="W269" s="1035">
        <f t="shared" si="85"/>
        <v>1.2565941101236477</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4131.3567455738785</v>
      </c>
      <c r="L270" s="518">
        <f t="shared" si="94"/>
        <v>0.5</v>
      </c>
      <c r="M270" s="518">
        <f t="shared" si="90"/>
        <v>0.5</v>
      </c>
      <c r="N270" s="12">
        <f t="shared" si="95"/>
        <v>0</v>
      </c>
      <c r="O270" s="12">
        <f t="shared" si="95"/>
        <v>0</v>
      </c>
      <c r="P270" s="690">
        <f t="shared" si="82"/>
        <v>1.6525426982295515</v>
      </c>
      <c r="Q270" s="465">
        <f t="shared" si="83"/>
        <v>8.2627134911477569</v>
      </c>
      <c r="R270" s="12"/>
      <c r="S270" s="1044">
        <f t="shared" si="84"/>
        <v>0.49576280946886536</v>
      </c>
      <c r="T270" s="1033">
        <f t="shared" si="85"/>
        <v>4.2276068844753834</v>
      </c>
      <c r="U270" s="1034">
        <f t="shared" si="85"/>
        <v>21.138034422376915</v>
      </c>
      <c r="V270" s="1034">
        <f t="shared" si="85"/>
        <v>0</v>
      </c>
      <c r="W270" s="1035">
        <f t="shared" si="85"/>
        <v>1.2682820653426148</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4238.9971068567629</v>
      </c>
      <c r="L271" s="518">
        <f t="shared" si="94"/>
        <v>0.5</v>
      </c>
      <c r="M271" s="518">
        <f t="shared" si="90"/>
        <v>0.5</v>
      </c>
      <c r="N271" s="12">
        <f t="shared" si="95"/>
        <v>0</v>
      </c>
      <c r="O271" s="12">
        <f t="shared" si="95"/>
        <v>0</v>
      </c>
      <c r="P271" s="690">
        <f t="shared" si="82"/>
        <v>1.6955988427427053</v>
      </c>
      <c r="Q271" s="465">
        <f t="shared" si="83"/>
        <v>8.4779942137135258</v>
      </c>
      <c r="R271" s="12"/>
      <c r="S271" s="1044">
        <f t="shared" si="84"/>
        <v>0.50867965282281158</v>
      </c>
      <c r="T271" s="1033">
        <f t="shared" si="85"/>
        <v>4.2706630289885368</v>
      </c>
      <c r="U271" s="1034">
        <f t="shared" si="85"/>
        <v>21.353315144942684</v>
      </c>
      <c r="V271" s="1034">
        <f t="shared" si="85"/>
        <v>0</v>
      </c>
      <c r="W271" s="1035">
        <f t="shared" si="85"/>
        <v>1.2811989086965609</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4341.1729138260207</v>
      </c>
      <c r="L272" s="518">
        <f t="shared" si="94"/>
        <v>0.5</v>
      </c>
      <c r="M272" s="518">
        <f t="shared" si="90"/>
        <v>0.5</v>
      </c>
      <c r="N272" s="12">
        <f t="shared" si="95"/>
        <v>0</v>
      </c>
      <c r="O272" s="12">
        <f t="shared" si="95"/>
        <v>0</v>
      </c>
      <c r="P272" s="690">
        <f t="shared" si="82"/>
        <v>1.7364691655304083</v>
      </c>
      <c r="Q272" s="465">
        <f t="shared" si="83"/>
        <v>8.6823458276520409</v>
      </c>
      <c r="R272" s="12"/>
      <c r="S272" s="1044">
        <f t="shared" si="84"/>
        <v>0.52094074965912252</v>
      </c>
      <c r="T272" s="1033">
        <f t="shared" si="85"/>
        <v>4.31153335177624</v>
      </c>
      <c r="U272" s="1034">
        <f t="shared" si="85"/>
        <v>21.557666758881197</v>
      </c>
      <c r="V272" s="1034">
        <f t="shared" si="85"/>
        <v>0</v>
      </c>
      <c r="W272" s="1035">
        <f t="shared" si="85"/>
        <v>1.293460005532872</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4444.0310736329275</v>
      </c>
      <c r="L273" s="518">
        <f t="shared" si="94"/>
        <v>0.5</v>
      </c>
      <c r="M273" s="518">
        <f t="shared" si="90"/>
        <v>0.5</v>
      </c>
      <c r="N273" s="12">
        <f t="shared" si="95"/>
        <v>0</v>
      </c>
      <c r="O273" s="12">
        <f t="shared" si="95"/>
        <v>0</v>
      </c>
      <c r="P273" s="690">
        <f t="shared" si="82"/>
        <v>1.777612429453171</v>
      </c>
      <c r="Q273" s="465">
        <f t="shared" si="83"/>
        <v>8.8880621472658543</v>
      </c>
      <c r="R273" s="12"/>
      <c r="S273" s="1044">
        <f t="shared" si="84"/>
        <v>0.53328372883595121</v>
      </c>
      <c r="T273" s="1033">
        <f t="shared" si="85"/>
        <v>4.3526766156990027</v>
      </c>
      <c r="U273" s="1034">
        <f t="shared" si="85"/>
        <v>21.763383078495011</v>
      </c>
      <c r="V273" s="1034">
        <f t="shared" si="85"/>
        <v>0</v>
      </c>
      <c r="W273" s="1035">
        <f t="shared" si="85"/>
        <v>1.3058029847097008</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4549.242603331425</v>
      </c>
      <c r="L274" s="518">
        <f t="shared" si="94"/>
        <v>0.5</v>
      </c>
      <c r="M274" s="518">
        <f t="shared" si="90"/>
        <v>0.5</v>
      </c>
      <c r="N274" s="12">
        <f t="shared" si="95"/>
        <v>0</v>
      </c>
      <c r="O274" s="12">
        <f t="shared" si="95"/>
        <v>0</v>
      </c>
      <c r="P274" s="690">
        <f t="shared" si="82"/>
        <v>1.8196970413325702</v>
      </c>
      <c r="Q274" s="465">
        <f t="shared" si="83"/>
        <v>9.0984852066628505</v>
      </c>
      <c r="R274" s="12"/>
      <c r="S274" s="1044">
        <f t="shared" si="84"/>
        <v>0.54590911239977091</v>
      </c>
      <c r="T274" s="1033">
        <f t="shared" si="85"/>
        <v>4.3947612275784023</v>
      </c>
      <c r="U274" s="1034">
        <f t="shared" si="85"/>
        <v>21.973806137892009</v>
      </c>
      <c r="V274" s="1034">
        <f t="shared" si="85"/>
        <v>0</v>
      </c>
      <c r="W274" s="1035">
        <f t="shared" si="85"/>
        <v>1.3184283682735205</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4658.452026609255</v>
      </c>
      <c r="L275" s="518">
        <f t="shared" si="94"/>
        <v>0.5</v>
      </c>
      <c r="M275" s="518">
        <f t="shared" si="90"/>
        <v>0.5</v>
      </c>
      <c r="N275" s="12">
        <f t="shared" si="95"/>
        <v>0</v>
      </c>
      <c r="O275" s="12">
        <f t="shared" si="95"/>
        <v>0</v>
      </c>
      <c r="P275" s="690">
        <f t="shared" si="82"/>
        <v>1.863380810643702</v>
      </c>
      <c r="Q275" s="465">
        <f t="shared" si="83"/>
        <v>9.3169040532185097</v>
      </c>
      <c r="R275" s="12"/>
      <c r="S275" s="1044">
        <f t="shared" si="84"/>
        <v>0.55901424319311055</v>
      </c>
      <c r="T275" s="1033">
        <f t="shared" si="85"/>
        <v>4.4384449968895341</v>
      </c>
      <c r="U275" s="1034">
        <f t="shared" si="85"/>
        <v>22.19222498444767</v>
      </c>
      <c r="V275" s="1034">
        <f t="shared" si="85"/>
        <v>0</v>
      </c>
      <c r="W275" s="1035">
        <f t="shared" si="85"/>
        <v>1.3315334990668601</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4763.4596201901322</v>
      </c>
      <c r="L276" s="518">
        <f t="shared" si="94"/>
        <v>0.5</v>
      </c>
      <c r="M276" s="518">
        <f t="shared" si="90"/>
        <v>0.5</v>
      </c>
      <c r="N276" s="12">
        <f t="shared" si="95"/>
        <v>0</v>
      </c>
      <c r="O276" s="12">
        <f t="shared" si="95"/>
        <v>0</v>
      </c>
      <c r="P276" s="690">
        <f t="shared" si="82"/>
        <v>1.905383848076053</v>
      </c>
      <c r="Q276" s="465">
        <f t="shared" si="83"/>
        <v>9.5269192403802645</v>
      </c>
      <c r="R276" s="12"/>
      <c r="S276" s="1044">
        <f t="shared" si="84"/>
        <v>0.57161515442281585</v>
      </c>
      <c r="T276" s="1033">
        <f t="shared" si="85"/>
        <v>4.4804480343218849</v>
      </c>
      <c r="U276" s="1034">
        <f t="shared" si="85"/>
        <v>22.402240171609421</v>
      </c>
      <c r="V276" s="1034">
        <f t="shared" si="85"/>
        <v>0</v>
      </c>
      <c r="W276" s="1035">
        <f t="shared" si="85"/>
        <v>1.3441344102965653</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4871.4474578321506</v>
      </c>
      <c r="L277" s="518">
        <f t="shared" si="94"/>
        <v>0.5</v>
      </c>
      <c r="M277" s="518">
        <f t="shared" si="90"/>
        <v>0.5</v>
      </c>
      <c r="N277" s="12">
        <f t="shared" si="95"/>
        <v>0</v>
      </c>
      <c r="O277" s="12">
        <f t="shared" si="95"/>
        <v>0</v>
      </c>
      <c r="P277" s="690">
        <f t="shared" si="82"/>
        <v>1.9485789831328602</v>
      </c>
      <c r="Q277" s="465">
        <f t="shared" si="83"/>
        <v>9.7428949156643014</v>
      </c>
      <c r="R277" s="12"/>
      <c r="S277" s="1044">
        <f t="shared" si="84"/>
        <v>0.584573694939858</v>
      </c>
      <c r="T277" s="1033">
        <f t="shared" si="85"/>
        <v>4.5236431693786923</v>
      </c>
      <c r="U277" s="1034">
        <f t="shared" si="85"/>
        <v>22.61821584689346</v>
      </c>
      <c r="V277" s="1034">
        <f t="shared" si="85"/>
        <v>0</v>
      </c>
      <c r="W277" s="1035">
        <f t="shared" si="85"/>
        <v>1.3570929508136076</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4983.6817890261063</v>
      </c>
      <c r="L278" s="518">
        <f t="shared" si="94"/>
        <v>0.5</v>
      </c>
      <c r="M278" s="518">
        <f t="shared" si="90"/>
        <v>0.5</v>
      </c>
      <c r="N278" s="12">
        <f t="shared" si="95"/>
        <v>0</v>
      </c>
      <c r="O278" s="12">
        <f t="shared" si="95"/>
        <v>0</v>
      </c>
      <c r="P278" s="690">
        <f t="shared" si="82"/>
        <v>1.9934727156104428</v>
      </c>
      <c r="Q278" s="465">
        <f t="shared" si="83"/>
        <v>9.967363578052213</v>
      </c>
      <c r="R278" s="12"/>
      <c r="S278" s="1044">
        <f t="shared" si="84"/>
        <v>0.59804181468313278</v>
      </c>
      <c r="T278" s="1033">
        <f t="shared" si="85"/>
        <v>4.5685369018562749</v>
      </c>
      <c r="U278" s="1034">
        <f t="shared" si="85"/>
        <v>22.842684509281369</v>
      </c>
      <c r="V278" s="1034">
        <f t="shared" si="85"/>
        <v>0</v>
      </c>
      <c r="W278" s="1035">
        <f t="shared" si="85"/>
        <v>1.3705610705568823</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5100.203908457429</v>
      </c>
      <c r="L279" s="518">
        <f t="shared" si="94"/>
        <v>0.5</v>
      </c>
      <c r="M279" s="518">
        <f t="shared" si="90"/>
        <v>0.5</v>
      </c>
      <c r="N279" s="12">
        <f t="shared" si="95"/>
        <v>0</v>
      </c>
      <c r="O279" s="12">
        <f t="shared" si="95"/>
        <v>0</v>
      </c>
      <c r="P279" s="690">
        <f t="shared" si="82"/>
        <v>2.0400815633829716</v>
      </c>
      <c r="Q279" s="465">
        <f t="shared" si="83"/>
        <v>10.200407816914858</v>
      </c>
      <c r="R279" s="12"/>
      <c r="S279" s="1044">
        <f t="shared" si="84"/>
        <v>0.61202446901489149</v>
      </c>
      <c r="T279" s="1033">
        <f t="shared" si="85"/>
        <v>4.6151457496288035</v>
      </c>
      <c r="U279" s="1034">
        <f t="shared" si="85"/>
        <v>23.075728748144016</v>
      </c>
      <c r="V279" s="1034">
        <f t="shared" si="85"/>
        <v>0</v>
      </c>
      <c r="W279" s="1035">
        <f t="shared" si="85"/>
        <v>1.384543724888641</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5217.0541904040911</v>
      </c>
      <c r="L280" s="518">
        <f t="shared" si="94"/>
        <v>0.5</v>
      </c>
      <c r="M280" s="518">
        <f t="shared" si="90"/>
        <v>0.5</v>
      </c>
      <c r="N280" s="12">
        <f t="shared" si="95"/>
        <v>0</v>
      </c>
      <c r="O280" s="12">
        <f t="shared" si="95"/>
        <v>0</v>
      </c>
      <c r="P280" s="690">
        <f t="shared" si="82"/>
        <v>2.0868216761616365</v>
      </c>
      <c r="Q280" s="465">
        <f t="shared" si="83"/>
        <v>10.434108380808182</v>
      </c>
      <c r="R280" s="12"/>
      <c r="S280" s="1044">
        <f t="shared" si="84"/>
        <v>0.62604650284849095</v>
      </c>
      <c r="T280" s="1033">
        <f t="shared" si="85"/>
        <v>4.6618858624074679</v>
      </c>
      <c r="U280" s="1034">
        <f t="shared" si="85"/>
        <v>23.309429312037338</v>
      </c>
      <c r="V280" s="1034">
        <f t="shared" si="85"/>
        <v>0</v>
      </c>
      <c r="W280" s="1035">
        <f t="shared" si="85"/>
        <v>1.3985657587222404</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5243.2755347882812</v>
      </c>
      <c r="L281" s="518">
        <f t="shared" si="94"/>
        <v>0.5</v>
      </c>
      <c r="M281" s="518">
        <f t="shared" si="90"/>
        <v>0.5</v>
      </c>
      <c r="N281" s="12">
        <f t="shared" si="95"/>
        <v>0</v>
      </c>
      <c r="O281" s="12">
        <f t="shared" si="95"/>
        <v>0</v>
      </c>
      <c r="P281" s="690">
        <f t="shared" si="82"/>
        <v>2.0973102139153124</v>
      </c>
      <c r="Q281" s="465">
        <f t="shared" si="83"/>
        <v>10.486551069576562</v>
      </c>
      <c r="R281" s="12"/>
      <c r="S281" s="1044">
        <f t="shared" si="84"/>
        <v>0.62919306417459375</v>
      </c>
      <c r="T281" s="1033">
        <f t="shared" si="85"/>
        <v>4.6723744001611447</v>
      </c>
      <c r="U281" s="1034">
        <f t="shared" si="85"/>
        <v>23.361872000805718</v>
      </c>
      <c r="V281" s="1034">
        <f t="shared" si="85"/>
        <v>0</v>
      </c>
      <c r="W281" s="1035">
        <f t="shared" si="85"/>
        <v>1.4017123200483432</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5258.9439907476335</v>
      </c>
      <c r="L282" s="518">
        <f t="shared" si="94"/>
        <v>0.5</v>
      </c>
      <c r="M282" s="518">
        <f t="shared" si="90"/>
        <v>0.5</v>
      </c>
      <c r="N282" s="12">
        <f t="shared" si="95"/>
        <v>0</v>
      </c>
      <c r="O282" s="12">
        <f t="shared" si="95"/>
        <v>0</v>
      </c>
      <c r="P282" s="690">
        <f t="shared" si="82"/>
        <v>2.1035775962990533</v>
      </c>
      <c r="Q282" s="465">
        <f t="shared" si="83"/>
        <v>10.517887981495267</v>
      </c>
      <c r="R282" s="12"/>
      <c r="S282" s="1044">
        <f t="shared" si="84"/>
        <v>0.63107327888971598</v>
      </c>
      <c r="T282" s="1033">
        <f t="shared" si="85"/>
        <v>4.6786417825448847</v>
      </c>
      <c r="U282" s="1034">
        <f t="shared" si="85"/>
        <v>23.393208912724425</v>
      </c>
      <c r="V282" s="1034">
        <f t="shared" si="85"/>
        <v>0</v>
      </c>
      <c r="W282" s="1035">
        <f t="shared" si="85"/>
        <v>1.4035925347634655</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5275.1601987700142</v>
      </c>
      <c r="L283" s="518">
        <f t="shared" si="94"/>
        <v>0.5</v>
      </c>
      <c r="M283" s="518">
        <f t="shared" si="90"/>
        <v>0.5</v>
      </c>
      <c r="N283" s="12">
        <f t="shared" si="95"/>
        <v>0</v>
      </c>
      <c r="O283" s="12">
        <f t="shared" si="95"/>
        <v>0</v>
      </c>
      <c r="P283" s="690">
        <f t="shared" si="82"/>
        <v>2.1100640795080059</v>
      </c>
      <c r="Q283" s="465">
        <f t="shared" si="83"/>
        <v>10.550320397540029</v>
      </c>
      <c r="R283" s="12"/>
      <c r="S283" s="1044">
        <f t="shared" si="84"/>
        <v>0.63301922385240161</v>
      </c>
      <c r="T283" s="1033">
        <f t="shared" si="85"/>
        <v>4.6851282657538373</v>
      </c>
      <c r="U283" s="1034">
        <f t="shared" si="85"/>
        <v>23.425641328769188</v>
      </c>
      <c r="V283" s="1034">
        <f t="shared" si="85"/>
        <v>0</v>
      </c>
      <c r="W283" s="1035">
        <f t="shared" si="85"/>
        <v>1.4055384797261512</v>
      </c>
    </row>
    <row r="284" spans="1:23" ht="1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5287.0208083773005</v>
      </c>
      <c r="L284" s="520">
        <f t="shared" si="94"/>
        <v>0.5</v>
      </c>
      <c r="M284" s="520">
        <f t="shared" si="90"/>
        <v>0.5</v>
      </c>
      <c r="N284" s="1045">
        <f t="shared" ref="N284:O284" si="96">N146</f>
        <v>0</v>
      </c>
      <c r="O284" s="1045">
        <f t="shared" si="96"/>
        <v>0</v>
      </c>
      <c r="P284" s="1046">
        <f t="shared" si="82"/>
        <v>2.1148083233509203</v>
      </c>
      <c r="Q284" s="988">
        <f t="shared" si="83"/>
        <v>10.574041616754601</v>
      </c>
      <c r="R284" s="1045"/>
      <c r="S284" s="1047">
        <f t="shared" si="84"/>
        <v>0.634442497005276</v>
      </c>
      <c r="T284" s="1048">
        <f t="shared" si="85"/>
        <v>4.6898725095967517</v>
      </c>
      <c r="U284" s="1049">
        <f t="shared" si="85"/>
        <v>23.44936254798376</v>
      </c>
      <c r="V284" s="1049">
        <f t="shared" si="85"/>
        <v>0</v>
      </c>
      <c r="W284" s="1050">
        <f t="shared" si="85"/>
        <v>1.4069617528790255</v>
      </c>
    </row>
  </sheetData>
  <mergeCells count="15">
    <mergeCell ref="A11:A12"/>
    <mergeCell ref="F4:F8"/>
    <mergeCell ref="E11:F11"/>
    <mergeCell ref="I11:J11"/>
    <mergeCell ref="G11:H11"/>
    <mergeCell ref="T11:U11"/>
    <mergeCell ref="V11:W11"/>
    <mergeCell ref="K10:S10"/>
    <mergeCell ref="B10:J10"/>
    <mergeCell ref="T10:W10"/>
    <mergeCell ref="N11:O11"/>
    <mergeCell ref="P11:Q11"/>
    <mergeCell ref="R11:S11"/>
    <mergeCell ref="L11:M11"/>
    <mergeCell ref="C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4.4"/>
  <cols>
    <col min="2" max="2" width="15.44140625" bestFit="1" customWidth="1"/>
    <col min="3" max="3" width="17.332031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4.4"/>
  <cols>
    <col min="1" max="1" width="76.5546875" customWidth="1"/>
    <col min="2" max="2" width="43.88671875" customWidth="1"/>
    <col min="3" max="3" width="12.5546875" bestFit="1" customWidth="1"/>
    <col min="4" max="4" width="16.88671875" bestFit="1" customWidth="1"/>
    <col min="5" max="6" width="12.5546875" bestFit="1" customWidth="1"/>
    <col min="7" max="7" width="12.109375" customWidth="1"/>
    <col min="8" max="8" width="12.5546875" customWidth="1"/>
    <col min="9" max="9" width="12.6640625" customWidth="1"/>
    <col min="10" max="10" width="15.109375" style="1" bestFit="1" customWidth="1"/>
    <col min="11" max="11" width="16.109375" customWidth="1"/>
    <col min="16" max="16" width="12.109375" customWidth="1"/>
    <col min="17" max="17" width="11.5546875" customWidth="1"/>
    <col min="18" max="18" width="13.109375" style="1" customWidth="1"/>
    <col min="20" max="20" width="11.109375" customWidth="1"/>
    <col min="23" max="23" width="10.5546875" customWidth="1"/>
    <col min="24" max="24" width="10.33203125" customWidth="1"/>
    <col min="25" max="25" width="10.6640625" customWidth="1"/>
    <col min="26" max="26" width="8.88671875" style="1"/>
    <col min="28" max="28" width="21.6640625" customWidth="1"/>
    <col min="29" max="29" width="17.6640625" customWidth="1"/>
    <col min="30" max="30" width="15.6640625" customWidth="1"/>
    <col min="31" max="31" width="14.5546875" customWidth="1"/>
    <col min="32" max="32" width="11.88671875" customWidth="1"/>
    <col min="33" max="33" width="11.5546875" customWidth="1"/>
    <col min="35" max="37" width="14.33203125" style="1183" customWidth="1"/>
  </cols>
  <sheetData>
    <row r="1" spans="1:26">
      <c r="A1" s="2" t="s">
        <v>38</v>
      </c>
    </row>
    <row r="3" spans="1:26" ht="1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28.8">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0.11503127801861517</v>
      </c>
      <c r="C91" s="473">
        <f>$B91*'Recycling - Case 1'!BM100*'Recycling - Case 1'!$AK100</f>
        <v>781.36403170691767</v>
      </c>
      <c r="D91" s="474">
        <f>$B91*'Recycling - Case 1'!BN100*'Recycling - Case 1'!$AK100</f>
        <v>816.06067920830117</v>
      </c>
      <c r="E91" s="474">
        <f>$B91*'Recycling - Case 1'!BO100*'Recycling - Case 1'!$AK100</f>
        <v>222.89094519569196</v>
      </c>
      <c r="F91" s="474">
        <f>$B91*'Recycling - Case 1'!BP100*'Recycling - Case 1'!$AK100</f>
        <v>0</v>
      </c>
      <c r="G91" s="474">
        <f>$B91*'Recycling - Case 1'!BQ100*'Recycling - Case 1'!$AK100</f>
        <v>0</v>
      </c>
      <c r="H91" s="474">
        <f>$B91*'Recycling - Case 1'!BR100*'Recycling - Case 1'!$AK100</f>
        <v>0</v>
      </c>
      <c r="I91" s="474">
        <f>$B91*'Recycling - Case 1'!BS100*'Recycling - Case 1'!$AK100</f>
        <v>871.42701763418643</v>
      </c>
      <c r="J91" s="663">
        <f t="shared" si="11"/>
        <v>2691.7426737450974</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1.1774526227285702</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30.022403611532987</v>
      </c>
      <c r="R91" s="104">
        <f t="shared" si="8"/>
        <v>31.199856234261556</v>
      </c>
      <c r="S91" s="431">
        <f>C91*'4C2 Open-burning '!$C$9*'4C2 Open-burning '!$C$11*$C$5</f>
        <v>3.0473197236569782</v>
      </c>
      <c r="T91" s="431">
        <f>D91*'4C2 Open-burning '!$C$9*'4C2 Open-burning '!$C$11*$C$5</f>
        <v>3.1826366489123745</v>
      </c>
      <c r="U91" s="431">
        <f>E91*'4C2 Open-burning '!$C$9*'4C2 Open-burning '!$C$11*$C$5</f>
        <v>0.86927468626319848</v>
      </c>
      <c r="V91" s="431">
        <f>F91*'4C2 Open-burning '!$C$9*'4C2 Open-burning '!$C$11*$C$5</f>
        <v>0</v>
      </c>
      <c r="W91" s="431">
        <f>G91*'4C2 Open-burning '!$C$9*'4C2 Open-burning '!$C$11*$C$5</f>
        <v>0</v>
      </c>
      <c r="X91" s="431">
        <f>H91*'4C2 Open-burning '!$C$9*'4C2 Open-burning '!$C$11*$C$5</f>
        <v>0</v>
      </c>
      <c r="Y91" s="431">
        <f>I91*'4C2 Open-burning '!$C$9*'4C2 Open-burning '!$C$11*$C$5</f>
        <v>3.398565368773327</v>
      </c>
      <c r="Z91" s="432">
        <f t="shared" si="9"/>
        <v>10.497796427605877</v>
      </c>
      <c r="AA91" s="433">
        <f>C91*'4C2 Open-burning '!$C$10*'4C2 Open-burning '!$C$11*$C$5*C$15</f>
        <v>2.8129105141449035E-2</v>
      </c>
      <c r="AB91" s="433">
        <f>D91*'4C2 Open-burning '!$C$10*'4C2 Open-burning '!$C$11*$C$5*D$15</f>
        <v>2.937818445149884E-2</v>
      </c>
      <c r="AC91" s="433">
        <f>E91*'4C2 Open-burning '!$C$10*'4C2 Open-burning '!$C$11*$C$5*E$15</f>
        <v>1.8054166560851046E-2</v>
      </c>
      <c r="AD91" s="433">
        <f>F91*'4C2 Open-burning '!$C$10*'4C2 Open-burning '!$C$11*$C$5*F$15</f>
        <v>0</v>
      </c>
      <c r="AE91" s="433">
        <f>G91*'4C2 Open-burning '!$C$10*'4C2 Open-burning '!$C$11*$C$5*G$15</f>
        <v>0</v>
      </c>
      <c r="AF91" s="433">
        <f>H91*'4C2 Open-burning '!$C$10*'4C2 Open-burning '!$C$11*$C$5*H$15</f>
        <v>0</v>
      </c>
      <c r="AG91" s="433">
        <f>I91*'4C2 Open-burning '!$C$10*'4C2 Open-burning '!$C$11*$C$5*I$15</f>
        <v>7.0585588428369095E-2</v>
      </c>
      <c r="AH91" s="434">
        <f t="shared" si="10"/>
        <v>0.14614704458216801</v>
      </c>
    </row>
    <row r="92" spans="1:44">
      <c r="A92" s="435">
        <f>'Input data'!A121</f>
        <v>2021</v>
      </c>
      <c r="B92" s="107">
        <f>'Recycling - Case 1'!AP101</f>
        <v>0.11293476596976883</v>
      </c>
      <c r="C92" s="473">
        <f>$B92*'Recycling - Case 1'!BM101*'Recycling - Case 1'!$AK101</f>
        <v>761.23286402600684</v>
      </c>
      <c r="D92" s="474">
        <f>$B92*'Recycling - Case 1'!BN101*'Recycling - Case 1'!$AK101</f>
        <v>795.03558244891724</v>
      </c>
      <c r="E92" s="474">
        <f>$B92*'Recycling - Case 1'!BO101*'Recycling - Case 1'!$AK101</f>
        <v>217.14835299767509</v>
      </c>
      <c r="F92" s="474">
        <f>$B92*'Recycling - Case 1'!BP101*'Recycling - Case 1'!$AK101</f>
        <v>0</v>
      </c>
      <c r="G92" s="474">
        <f>$B92*'Recycling - Case 1'!BQ101*'Recycling - Case 1'!$AK101</f>
        <v>0</v>
      </c>
      <c r="H92" s="474">
        <f>$B92*'Recycling - Case 1'!BR101*'Recycling - Case 1'!$AK101</f>
        <v>0</v>
      </c>
      <c r="I92" s="474">
        <f>$B92*'Recycling - Case 1'!BS101*'Recycling - Case 1'!$AK101</f>
        <v>848.97545510788632</v>
      </c>
      <c r="J92" s="663">
        <f t="shared" si="11"/>
        <v>2622.3922545804853</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1.1471165754796384</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29.248902379376897</v>
      </c>
      <c r="R92" s="104">
        <f t="shared" si="8"/>
        <v>30.396018954856537</v>
      </c>
      <c r="S92" s="431">
        <f>C92*'4C2 Open-burning '!$C$9*'4C2 Open-burning '!$C$11*$C$5</f>
        <v>2.9688081697014264</v>
      </c>
      <c r="T92" s="431">
        <f>D92*'4C2 Open-burning '!$C$9*'4C2 Open-burning '!$C$11*$C$5</f>
        <v>3.1006387715507771</v>
      </c>
      <c r="U92" s="431">
        <f>E92*'4C2 Open-burning '!$C$9*'4C2 Open-burning '!$C$11*$C$5</f>
        <v>0.84687857669093269</v>
      </c>
      <c r="V92" s="431">
        <f>F92*'4C2 Open-burning '!$C$9*'4C2 Open-burning '!$C$11*$C$5</f>
        <v>0</v>
      </c>
      <c r="W92" s="431">
        <f>G92*'4C2 Open-burning '!$C$9*'4C2 Open-burning '!$C$11*$C$5</f>
        <v>0</v>
      </c>
      <c r="X92" s="431">
        <f>H92*'4C2 Open-burning '!$C$9*'4C2 Open-burning '!$C$11*$C$5</f>
        <v>0</v>
      </c>
      <c r="Y92" s="431">
        <f>I92*'4C2 Open-burning '!$C$9*'4C2 Open-burning '!$C$11*$C$5</f>
        <v>3.3110042749207564</v>
      </c>
      <c r="Z92" s="432">
        <f t="shared" si="9"/>
        <v>10.227329792863893</v>
      </c>
      <c r="AA92" s="433">
        <f>C92*'4C2 Open-burning '!$C$10*'4C2 Open-burning '!$C$11*$C$5*C$15</f>
        <v>2.7404383104936245E-2</v>
      </c>
      <c r="AB92" s="433">
        <f>D92*'4C2 Open-burning '!$C$10*'4C2 Open-burning '!$C$11*$C$5*D$15</f>
        <v>2.8621280968161019E-2</v>
      </c>
      <c r="AC92" s="433">
        <f>E92*'4C2 Open-burning '!$C$10*'4C2 Open-burning '!$C$11*$C$5*E$15</f>
        <v>1.7589016592811681E-2</v>
      </c>
      <c r="AD92" s="433">
        <f>F92*'4C2 Open-burning '!$C$10*'4C2 Open-burning '!$C$11*$C$5*F$15</f>
        <v>0</v>
      </c>
      <c r="AE92" s="433">
        <f>G92*'4C2 Open-burning '!$C$10*'4C2 Open-burning '!$C$11*$C$5*G$15</f>
        <v>0</v>
      </c>
      <c r="AF92" s="433">
        <f>H92*'4C2 Open-burning '!$C$10*'4C2 Open-burning '!$C$11*$C$5*H$15</f>
        <v>0</v>
      </c>
      <c r="AG92" s="433">
        <f>I92*'4C2 Open-burning '!$C$10*'4C2 Open-burning '!$C$11*$C$5*I$15</f>
        <v>6.8767011863738792E-2</v>
      </c>
      <c r="AH92" s="434">
        <f t="shared" si="10"/>
        <v>0.14238169252964775</v>
      </c>
    </row>
    <row r="93" spans="1:44">
      <c r="A93" s="435">
        <f>'Input data'!A122</f>
        <v>2022</v>
      </c>
      <c r="B93" s="107">
        <f>'Recycling - Case 1'!AP102</f>
        <v>0.11075732555016322</v>
      </c>
      <c r="C93" s="473">
        <f>$B93*'Recycling - Case 1'!BM102*'Recycling - Case 1'!$AK102</f>
        <v>741.69767369725253</v>
      </c>
      <c r="D93" s="474">
        <f>$B93*'Recycling - Case 1'!BN102*'Recycling - Case 1'!$AK102</f>
        <v>774.63292755153088</v>
      </c>
      <c r="E93" s="474">
        <f>$B93*'Recycling - Case 1'!BO102*'Recycling - Case 1'!$AK102</f>
        <v>211.5757685680567</v>
      </c>
      <c r="F93" s="474">
        <f>$B93*'Recycling - Case 1'!BP102*'Recycling - Case 1'!$AK102</f>
        <v>0</v>
      </c>
      <c r="G93" s="474">
        <f>$B93*'Recycling - Case 1'!BQ102*'Recycling - Case 1'!$AK102</f>
        <v>0</v>
      </c>
      <c r="H93" s="474">
        <f>$B93*'Recycling - Case 1'!BR102*'Recycling - Case 1'!$AK102</f>
        <v>0</v>
      </c>
      <c r="I93" s="474">
        <f>$B93*'Recycling - Case 1'!BS102*'Recycling - Case 1'!$AK102</f>
        <v>827.18856454688341</v>
      </c>
      <c r="J93" s="663">
        <f t="shared" si="11"/>
        <v>2555.0949343637235</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1.1176786180683591</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28.498300425769223</v>
      </c>
      <c r="R93" s="104">
        <f t="shared" si="8"/>
        <v>29.615979043837584</v>
      </c>
      <c r="S93" s="431">
        <f>C93*'4C2 Open-burning '!$C$9*'4C2 Open-burning '!$C$11*$C$5</f>
        <v>2.8926209274192849</v>
      </c>
      <c r="T93" s="431">
        <f>D93*'4C2 Open-burning '!$C$9*'4C2 Open-burning '!$C$11*$C$5</f>
        <v>3.0210684174509703</v>
      </c>
      <c r="U93" s="431">
        <f>E93*'4C2 Open-burning '!$C$9*'4C2 Open-burning '!$C$11*$C$5</f>
        <v>0.82514549741542109</v>
      </c>
      <c r="V93" s="431">
        <f>F93*'4C2 Open-burning '!$C$9*'4C2 Open-burning '!$C$11*$C$5</f>
        <v>0</v>
      </c>
      <c r="W93" s="431">
        <f>G93*'4C2 Open-burning '!$C$9*'4C2 Open-burning '!$C$11*$C$5</f>
        <v>0</v>
      </c>
      <c r="X93" s="431">
        <f>H93*'4C2 Open-burning '!$C$9*'4C2 Open-burning '!$C$11*$C$5</f>
        <v>0</v>
      </c>
      <c r="Y93" s="431">
        <f>I93*'4C2 Open-burning '!$C$9*'4C2 Open-burning '!$C$11*$C$5</f>
        <v>3.2260354017328452</v>
      </c>
      <c r="Z93" s="432">
        <f t="shared" si="9"/>
        <v>9.9648702440185204</v>
      </c>
      <c r="AA93" s="433">
        <f>C93*'4C2 Open-burning '!$C$10*'4C2 Open-burning '!$C$11*$C$5*C$15</f>
        <v>2.6701116253101093E-2</v>
      </c>
      <c r="AB93" s="433">
        <f>D93*'4C2 Open-burning '!$C$10*'4C2 Open-burning '!$C$11*$C$5*D$15</f>
        <v>2.7886785391855115E-2</v>
      </c>
      <c r="AC93" s="433">
        <f>E93*'4C2 Open-burning '!$C$10*'4C2 Open-burning '!$C$11*$C$5*E$15</f>
        <v>1.7137637254012593E-2</v>
      </c>
      <c r="AD93" s="433">
        <f>F93*'4C2 Open-burning '!$C$10*'4C2 Open-burning '!$C$11*$C$5*F$15</f>
        <v>0</v>
      </c>
      <c r="AE93" s="433">
        <f>G93*'4C2 Open-burning '!$C$10*'4C2 Open-burning '!$C$11*$C$5*G$15</f>
        <v>0</v>
      </c>
      <c r="AF93" s="433">
        <f>H93*'4C2 Open-burning '!$C$10*'4C2 Open-burning '!$C$11*$C$5*H$15</f>
        <v>0</v>
      </c>
      <c r="AG93" s="433">
        <f>I93*'4C2 Open-burning '!$C$10*'4C2 Open-burning '!$C$11*$C$5*I$15</f>
        <v>6.7002273728297548E-2</v>
      </c>
      <c r="AH93" s="434">
        <f t="shared" si="10"/>
        <v>0.13872781262726636</v>
      </c>
    </row>
    <row r="94" spans="1:44">
      <c r="A94" s="435">
        <f>'Input data'!A123</f>
        <v>2023</v>
      </c>
      <c r="B94" s="107">
        <f>'Recycling - Case 1'!AP103</f>
        <v>0.10850907008688693</v>
      </c>
      <c r="C94" s="473">
        <f>$B94*'Recycling - Case 1'!BM103*'Recycling - Case 1'!$AK103</f>
        <v>722.73860507762129</v>
      </c>
      <c r="D94" s="474">
        <f>$B94*'Recycling - Case 1'!BN103*'Recycling - Case 1'!$AK103</f>
        <v>754.83197717876499</v>
      </c>
      <c r="E94" s="474">
        <f>$B94*'Recycling - Case 1'!BO103*'Recycling - Case 1'!$AK103</f>
        <v>206.16752791046187</v>
      </c>
      <c r="F94" s="474">
        <f>$B94*'Recycling - Case 1'!BP103*'Recycling - Case 1'!$AK103</f>
        <v>0</v>
      </c>
      <c r="G94" s="474">
        <f>$B94*'Recycling - Case 1'!BQ103*'Recycling - Case 1'!$AK103</f>
        <v>0</v>
      </c>
      <c r="H94" s="474">
        <f>$B94*'Recycling - Case 1'!BR103*'Recycling - Case 1'!$AK103</f>
        <v>0</v>
      </c>
      <c r="I94" s="474">
        <f>$B94*'Recycling - Case 1'!BS103*'Recycling - Case 1'!$AK103</f>
        <v>806.0442016713165</v>
      </c>
      <c r="J94" s="663">
        <f t="shared" si="11"/>
        <v>2489.7823118381648</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1.0891088296409224</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27.769834835980195</v>
      </c>
      <c r="R94" s="104">
        <f t="shared" si="8"/>
        <v>28.858943665621116</v>
      </c>
      <c r="S94" s="431">
        <f>C94*'4C2 Open-burning '!$C$9*'4C2 Open-burning '!$C$11*$C$5</f>
        <v>2.8186805598027229</v>
      </c>
      <c r="T94" s="431">
        <f>D94*'4C2 Open-burning '!$C$9*'4C2 Open-burning '!$C$11*$C$5</f>
        <v>2.9438447109971837</v>
      </c>
      <c r="U94" s="431">
        <f>E94*'4C2 Open-burning '!$C$9*'4C2 Open-burning '!$C$11*$C$5</f>
        <v>0.8040533588508012</v>
      </c>
      <c r="V94" s="431">
        <f>F94*'4C2 Open-burning '!$C$9*'4C2 Open-burning '!$C$11*$C$5</f>
        <v>0</v>
      </c>
      <c r="W94" s="431">
        <f>G94*'4C2 Open-burning '!$C$9*'4C2 Open-burning '!$C$11*$C$5</f>
        <v>0</v>
      </c>
      <c r="X94" s="431">
        <f>H94*'4C2 Open-burning '!$C$9*'4C2 Open-burning '!$C$11*$C$5</f>
        <v>0</v>
      </c>
      <c r="Y94" s="431">
        <f>I94*'4C2 Open-burning '!$C$9*'4C2 Open-burning '!$C$11*$C$5</f>
        <v>3.1435723865181342</v>
      </c>
      <c r="Z94" s="432">
        <f t="shared" si="9"/>
        <v>9.710151016168842</v>
      </c>
      <c r="AA94" s="433">
        <f>C94*'4C2 Open-burning '!$C$10*'4C2 Open-burning '!$C$11*$C$5*C$15</f>
        <v>2.6018589782794366E-2</v>
      </c>
      <c r="AB94" s="433">
        <f>D94*'4C2 Open-burning '!$C$10*'4C2 Open-burning '!$C$11*$C$5*D$15</f>
        <v>2.7173951178435542E-2</v>
      </c>
      <c r="AC94" s="433">
        <f>E94*'4C2 Open-burning '!$C$10*'4C2 Open-burning '!$C$11*$C$5*E$15</f>
        <v>1.6699569760747414E-2</v>
      </c>
      <c r="AD94" s="433">
        <f>F94*'4C2 Open-burning '!$C$10*'4C2 Open-burning '!$C$11*$C$5*F$15</f>
        <v>0</v>
      </c>
      <c r="AE94" s="433">
        <f>G94*'4C2 Open-burning '!$C$10*'4C2 Open-burning '!$C$11*$C$5*G$15</f>
        <v>0</v>
      </c>
      <c r="AF94" s="433">
        <f>H94*'4C2 Open-burning '!$C$10*'4C2 Open-burning '!$C$11*$C$5*H$15</f>
        <v>0</v>
      </c>
      <c r="AG94" s="433">
        <f>I94*'4C2 Open-burning '!$C$10*'4C2 Open-burning '!$C$11*$C$5*I$15</f>
        <v>6.5289580335376629E-2</v>
      </c>
      <c r="AH94" s="434">
        <f t="shared" si="10"/>
        <v>0.13518169105735395</v>
      </c>
    </row>
    <row r="95" spans="1:44">
      <c r="A95" s="435">
        <f>'Input data'!A124</f>
        <v>2024</v>
      </c>
      <c r="B95" s="107">
        <f>'Recycling - Case 1'!AP104</f>
        <v>0.1062000898099229</v>
      </c>
      <c r="C95" s="473">
        <f>$B95*'Recycling - Case 1'!BM104*'Recycling - Case 1'!$AK104</f>
        <v>704.33643697509649</v>
      </c>
      <c r="D95" s="474">
        <f>$B95*'Recycling - Case 1'!BN104*'Recycling - Case 1'!$AK104</f>
        <v>735.61265661720017</v>
      </c>
      <c r="E95" s="474">
        <f>$B95*'Recycling - Case 1'!BO104*'Recycling - Case 1'!$AK104</f>
        <v>200.91814801123419</v>
      </c>
      <c r="F95" s="474">
        <f>$B95*'Recycling - Case 1'!BP104*'Recycling - Case 1'!$AK104</f>
        <v>0</v>
      </c>
      <c r="G95" s="474">
        <f>$B95*'Recycling - Case 1'!BQ104*'Recycling - Case 1'!$AK104</f>
        <v>0</v>
      </c>
      <c r="H95" s="474">
        <f>$B95*'Recycling - Case 1'!BR104*'Recycling - Case 1'!$AK104</f>
        <v>0</v>
      </c>
      <c r="I95" s="474">
        <f>$B95*'Recycling - Case 1'!BS104*'Recycling - Case 1'!$AK104</f>
        <v>785.52092978157418</v>
      </c>
      <c r="J95" s="663">
        <f t="shared" si="11"/>
        <v>2426.3881713851051</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1.0613782454100662</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27.062767072834792</v>
      </c>
      <c r="R95" s="104">
        <f t="shared" si="8"/>
        <v>28.124145318244857</v>
      </c>
      <c r="S95" s="431">
        <f>C95*'4C2 Open-burning '!$C$9*'4C2 Open-burning '!$C$11*$C$5</f>
        <v>2.7469121042028761</v>
      </c>
      <c r="T95" s="431">
        <f>D95*'4C2 Open-burning '!$C$9*'4C2 Open-burning '!$C$11*$C$5</f>
        <v>2.8688893608070805</v>
      </c>
      <c r="U95" s="431">
        <f>E95*'4C2 Open-burning '!$C$9*'4C2 Open-burning '!$C$11*$C$5</f>
        <v>0.78358077724381336</v>
      </c>
      <c r="V95" s="431">
        <f>F95*'4C2 Open-burning '!$C$9*'4C2 Open-burning '!$C$11*$C$5</f>
        <v>0</v>
      </c>
      <c r="W95" s="431">
        <f>G95*'4C2 Open-burning '!$C$9*'4C2 Open-burning '!$C$11*$C$5</f>
        <v>0</v>
      </c>
      <c r="X95" s="431">
        <f>H95*'4C2 Open-burning '!$C$9*'4C2 Open-burning '!$C$11*$C$5</f>
        <v>0</v>
      </c>
      <c r="Y95" s="431">
        <f>I95*'4C2 Open-burning '!$C$9*'4C2 Open-burning '!$C$11*$C$5</f>
        <v>3.0635316261481389</v>
      </c>
      <c r="Z95" s="432">
        <f t="shared" si="9"/>
        <v>9.462913868401909</v>
      </c>
      <c r="AA95" s="433">
        <f>C95*'4C2 Open-burning '!$C$10*'4C2 Open-burning '!$C$11*$C$5*C$15</f>
        <v>2.535611173110347E-2</v>
      </c>
      <c r="AB95" s="433">
        <f>D95*'4C2 Open-burning '!$C$10*'4C2 Open-burning '!$C$11*$C$5*D$15</f>
        <v>2.6482055638219204E-2</v>
      </c>
      <c r="AC95" s="433">
        <f>E95*'4C2 Open-burning '!$C$10*'4C2 Open-burning '!$C$11*$C$5*E$15</f>
        <v>1.6274369988909968E-2</v>
      </c>
      <c r="AD95" s="433">
        <f>F95*'4C2 Open-burning '!$C$10*'4C2 Open-burning '!$C$11*$C$5*F$15</f>
        <v>0</v>
      </c>
      <c r="AE95" s="433">
        <f>G95*'4C2 Open-burning '!$C$10*'4C2 Open-burning '!$C$11*$C$5*G$15</f>
        <v>0</v>
      </c>
      <c r="AF95" s="433">
        <f>H95*'4C2 Open-burning '!$C$10*'4C2 Open-burning '!$C$11*$C$5*H$15</f>
        <v>0</v>
      </c>
      <c r="AG95" s="433">
        <f>I95*'4C2 Open-burning '!$C$10*'4C2 Open-burning '!$C$11*$C$5*I$15</f>
        <v>6.3627195312307497E-2</v>
      </c>
      <c r="AH95" s="434">
        <f t="shared" si="10"/>
        <v>0.13173973267054012</v>
      </c>
    </row>
    <row r="96" spans="1:44">
      <c r="A96" s="435">
        <f>'Input data'!A125</f>
        <v>2025</v>
      </c>
      <c r="B96" s="107">
        <f>'Recycling - Case 1'!AP105</f>
        <v>0.1038403439063386</v>
      </c>
      <c r="C96" s="473">
        <f>$B96*'Recycling - Case 1'!BM105*'Recycling - Case 1'!$AK105</f>
        <v>686.47255925083232</v>
      </c>
      <c r="D96" s="474">
        <f>$B96*'Recycling - Case 1'!BN105*'Recycling - Case 1'!$AK105</f>
        <v>716.95552934054422</v>
      </c>
      <c r="E96" s="474">
        <f>$B96*'Recycling - Case 1'!BO105*'Recycling - Case 1'!$AK105</f>
        <v>195.82232016499543</v>
      </c>
      <c r="F96" s="474">
        <f>$B96*'Recycling - Case 1'!BP105*'Recycling - Case 1'!$AK105</f>
        <v>0</v>
      </c>
      <c r="G96" s="474">
        <f>$B96*'Recycling - Case 1'!BQ105*'Recycling - Case 1'!$AK105</f>
        <v>0</v>
      </c>
      <c r="H96" s="474">
        <f>$B96*'Recycling - Case 1'!BR105*'Recycling - Case 1'!$AK105</f>
        <v>0</v>
      </c>
      <c r="I96" s="474">
        <f>$B96*'Recycling - Case 1'!BS105*'Recycling - Case 1'!$AK105</f>
        <v>765.59799366352627</v>
      </c>
      <c r="J96" s="663">
        <f t="shared" si="11"/>
        <v>2364.8484024198983</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1.0344588213964114</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26.376382077695805</v>
      </c>
      <c r="R96" s="104">
        <f t="shared" si="8"/>
        <v>27.410840899092218</v>
      </c>
      <c r="S96" s="431">
        <f>C96*'4C2 Open-burning '!$C$9*'4C2 Open-burning '!$C$11*$C$5</f>
        <v>2.6772429810782454</v>
      </c>
      <c r="T96" s="431">
        <f>D96*'4C2 Open-burning '!$C$9*'4C2 Open-burning '!$C$11*$C$5</f>
        <v>2.7961265644281226</v>
      </c>
      <c r="U96" s="431">
        <f>E96*'4C2 Open-burning '!$C$9*'4C2 Open-burning '!$C$11*$C$5</f>
        <v>0.76370704864348216</v>
      </c>
      <c r="V96" s="431">
        <f>F96*'4C2 Open-burning '!$C$9*'4C2 Open-burning '!$C$11*$C$5</f>
        <v>0</v>
      </c>
      <c r="W96" s="431">
        <f>G96*'4C2 Open-burning '!$C$9*'4C2 Open-burning '!$C$11*$C$5</f>
        <v>0</v>
      </c>
      <c r="X96" s="431">
        <f>H96*'4C2 Open-burning '!$C$9*'4C2 Open-burning '!$C$11*$C$5</f>
        <v>0</v>
      </c>
      <c r="Y96" s="431">
        <f>I96*'4C2 Open-burning '!$C$9*'4C2 Open-burning '!$C$11*$C$5</f>
        <v>2.9858321752877521</v>
      </c>
      <c r="Z96" s="432">
        <f t="shared" si="9"/>
        <v>9.222908769437602</v>
      </c>
      <c r="AA96" s="433">
        <f>C96*'4C2 Open-burning '!$C$10*'4C2 Open-burning '!$C$11*$C$5*C$15</f>
        <v>2.4713012133029965E-2</v>
      </c>
      <c r="AB96" s="433">
        <f>D96*'4C2 Open-burning '!$C$10*'4C2 Open-burning '!$C$11*$C$5*D$15</f>
        <v>2.5810399056259592E-2</v>
      </c>
      <c r="AC96" s="433">
        <f>E96*'4C2 Open-burning '!$C$10*'4C2 Open-burning '!$C$11*$C$5*E$15</f>
        <v>1.5861607933364628E-2</v>
      </c>
      <c r="AD96" s="433">
        <f>F96*'4C2 Open-burning '!$C$10*'4C2 Open-burning '!$C$11*$C$5*F$15</f>
        <v>0</v>
      </c>
      <c r="AE96" s="433">
        <f>G96*'4C2 Open-burning '!$C$10*'4C2 Open-burning '!$C$11*$C$5*G$15</f>
        <v>0</v>
      </c>
      <c r="AF96" s="433">
        <f>H96*'4C2 Open-burning '!$C$10*'4C2 Open-burning '!$C$11*$C$5*H$15</f>
        <v>0</v>
      </c>
      <c r="AG96" s="433">
        <f>I96*'4C2 Open-burning '!$C$10*'4C2 Open-burning '!$C$11*$C$5*I$15</f>
        <v>6.2013437486745614E-2</v>
      </c>
      <c r="AH96" s="434">
        <f t="shared" si="10"/>
        <v>0.1283984566093998</v>
      </c>
    </row>
    <row r="97" spans="1:34">
      <c r="A97" s="435">
        <f>'Input data'!A126</f>
        <v>2026</v>
      </c>
      <c r="B97" s="107">
        <f>'Recycling - Case 1'!AP106</f>
        <v>0.10153596139868032</v>
      </c>
      <c r="C97" s="473">
        <f>$B97*'Recycling - Case 1'!BM106*'Recycling - Case 1'!$AK106</f>
        <v>669.43710410979213</v>
      </c>
      <c r="D97" s="474">
        <f>$B97*'Recycling - Case 1'!BN106*'Recycling - Case 1'!$AK106</f>
        <v>699.16361094029435</v>
      </c>
      <c r="E97" s="474">
        <f>$B97*'Recycling - Case 1'!BO106*'Recycling - Case 1'!$AK106</f>
        <v>190.96280712863199</v>
      </c>
      <c r="F97" s="474">
        <f>$B97*'Recycling - Case 1'!BP106*'Recycling - Case 1'!$AK106</f>
        <v>0</v>
      </c>
      <c r="G97" s="474">
        <f>$B97*'Recycling - Case 1'!BQ106*'Recycling - Case 1'!$AK106</f>
        <v>0</v>
      </c>
      <c r="H97" s="474">
        <f>$B97*'Recycling - Case 1'!BR106*'Recycling - Case 1'!$AK106</f>
        <v>0</v>
      </c>
      <c r="I97" s="474">
        <f>$B97*'Recycling - Case 1'!BS106*'Recycling - Case 1'!$AK106</f>
        <v>746.59896726200668</v>
      </c>
      <c r="J97" s="663">
        <f t="shared" si="11"/>
        <v>2306.162489440725</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1.0087877634499964</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25.721827620110652</v>
      </c>
      <c r="R97" s="104">
        <f t="shared" si="8"/>
        <v>26.730615383560647</v>
      </c>
      <c r="S97" s="431">
        <f>C97*'4C2 Open-burning '!$C$9*'4C2 Open-burning '!$C$11*$C$5</f>
        <v>2.6108047060281891</v>
      </c>
      <c r="T97" s="431">
        <f>D97*'4C2 Open-burning '!$C$9*'4C2 Open-burning '!$C$11*$C$5</f>
        <v>2.7267380826671479</v>
      </c>
      <c r="U97" s="431">
        <f>E97*'4C2 Open-burning '!$C$9*'4C2 Open-burning '!$C$11*$C$5</f>
        <v>0.74475494780166474</v>
      </c>
      <c r="V97" s="431">
        <f>F97*'4C2 Open-burning '!$C$9*'4C2 Open-burning '!$C$11*$C$5</f>
        <v>0</v>
      </c>
      <c r="W97" s="431">
        <f>G97*'4C2 Open-burning '!$C$9*'4C2 Open-burning '!$C$11*$C$5</f>
        <v>0</v>
      </c>
      <c r="X97" s="431">
        <f>H97*'4C2 Open-burning '!$C$9*'4C2 Open-burning '!$C$11*$C$5</f>
        <v>0</v>
      </c>
      <c r="Y97" s="431">
        <f>I97*'4C2 Open-burning '!$C$9*'4C2 Open-burning '!$C$11*$C$5</f>
        <v>2.9117359723218259</v>
      </c>
      <c r="Z97" s="432">
        <f t="shared" si="9"/>
        <v>8.9940337088188294</v>
      </c>
      <c r="AA97" s="433">
        <f>C97*'4C2 Open-burning '!$C$10*'4C2 Open-burning '!$C$11*$C$5*C$15</f>
        <v>2.4099735747952516E-2</v>
      </c>
      <c r="AB97" s="433">
        <f>D97*'4C2 Open-burning '!$C$10*'4C2 Open-burning '!$C$11*$C$5*D$15</f>
        <v>2.51698899938506E-2</v>
      </c>
      <c r="AC97" s="433">
        <f>E97*'4C2 Open-burning '!$C$10*'4C2 Open-burning '!$C$11*$C$5*E$15</f>
        <v>1.546798737741919E-2</v>
      </c>
      <c r="AD97" s="433">
        <f>F97*'4C2 Open-burning '!$C$10*'4C2 Open-burning '!$C$11*$C$5*F$15</f>
        <v>0</v>
      </c>
      <c r="AE97" s="433">
        <f>G97*'4C2 Open-burning '!$C$10*'4C2 Open-burning '!$C$11*$C$5*G$15</f>
        <v>0</v>
      </c>
      <c r="AF97" s="433">
        <f>H97*'4C2 Open-burning '!$C$10*'4C2 Open-burning '!$C$11*$C$5*H$15</f>
        <v>0</v>
      </c>
      <c r="AG97" s="433">
        <f>I97*'4C2 Open-burning '!$C$10*'4C2 Open-burning '!$C$11*$C$5*I$15</f>
        <v>6.047451634822254E-2</v>
      </c>
      <c r="AH97" s="434">
        <f t="shared" si="10"/>
        <v>0.12521212946744487</v>
      </c>
    </row>
    <row r="98" spans="1:34">
      <c r="A98" s="435">
        <f>'Input data'!A127</f>
        <v>2027</v>
      </c>
      <c r="B98" s="107">
        <f>'Recycling - Case 1'!AP107</f>
        <v>9.9207694227677709E-2</v>
      </c>
      <c r="C98" s="473">
        <f>$B98*'Recycling - Case 1'!BM107*'Recycling - Case 1'!$AK107</f>
        <v>652.96768594288483</v>
      </c>
      <c r="D98" s="474">
        <f>$B98*'Recycling - Case 1'!BN107*'Recycling - Case 1'!$AK107</f>
        <v>681.96286451472417</v>
      </c>
      <c r="E98" s="474">
        <f>$B98*'Recycling - Case 1'!BO107*'Recycling - Case 1'!$AK107</f>
        <v>186.26476110515958</v>
      </c>
      <c r="F98" s="474">
        <f>$B98*'Recycling - Case 1'!BP107*'Recycling - Case 1'!$AK107</f>
        <v>0</v>
      </c>
      <c r="G98" s="474">
        <f>$B98*'Recycling - Case 1'!BQ107*'Recycling - Case 1'!$AK107</f>
        <v>0</v>
      </c>
      <c r="H98" s="474">
        <f>$B98*'Recycling - Case 1'!BR107*'Recycling - Case 1'!$AK107</f>
        <v>0</v>
      </c>
      <c r="I98" s="474">
        <f>$B98*'Recycling - Case 1'!BS107*'Recycling - Case 1'!$AK107</f>
        <v>728.23122140607552</v>
      </c>
      <c r="J98" s="663">
        <f t="shared" si="11"/>
        <v>2249.4265329688442</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0.98396967760456022</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25.08902203988211</v>
      </c>
      <c r="R98" s="104">
        <f t="shared" si="8"/>
        <v>26.072991717486669</v>
      </c>
      <c r="S98" s="431">
        <f>C98*'4C2 Open-burning '!$C$9*'4C2 Open-burning '!$C$11*$C$5</f>
        <v>2.5465739751772505</v>
      </c>
      <c r="T98" s="431">
        <f>D98*'4C2 Open-burning '!$C$9*'4C2 Open-burning '!$C$11*$C$5</f>
        <v>2.6596551716074242</v>
      </c>
      <c r="U98" s="431">
        <f>E98*'4C2 Open-burning '!$C$9*'4C2 Open-burning '!$C$11*$C$5</f>
        <v>0.72643256831012226</v>
      </c>
      <c r="V98" s="431">
        <f>F98*'4C2 Open-burning '!$C$9*'4C2 Open-burning '!$C$11*$C$5</f>
        <v>0</v>
      </c>
      <c r="W98" s="431">
        <f>G98*'4C2 Open-burning '!$C$9*'4C2 Open-burning '!$C$11*$C$5</f>
        <v>0</v>
      </c>
      <c r="X98" s="431">
        <f>H98*'4C2 Open-burning '!$C$9*'4C2 Open-burning '!$C$11*$C$5</f>
        <v>0</v>
      </c>
      <c r="Y98" s="431">
        <f>I98*'4C2 Open-burning '!$C$9*'4C2 Open-burning '!$C$11*$C$5</f>
        <v>2.8401017634836947</v>
      </c>
      <c r="Z98" s="432">
        <f t="shared" si="9"/>
        <v>8.7727634785784918</v>
      </c>
      <c r="AA98" s="433">
        <f>C98*'4C2 Open-burning '!$C$10*'4C2 Open-burning '!$C$11*$C$5*C$15</f>
        <v>2.350683669394385E-2</v>
      </c>
      <c r="AB98" s="433">
        <f>D98*'4C2 Open-burning '!$C$10*'4C2 Open-burning '!$C$11*$C$5*D$15</f>
        <v>2.455066312253007E-2</v>
      </c>
      <c r="AC98" s="433">
        <f>E98*'4C2 Open-burning '!$C$10*'4C2 Open-burning '!$C$11*$C$5*E$15</f>
        <v>1.5087445649517925E-2</v>
      </c>
      <c r="AD98" s="433">
        <f>F98*'4C2 Open-burning '!$C$10*'4C2 Open-burning '!$C$11*$C$5*F$15</f>
        <v>0</v>
      </c>
      <c r="AE98" s="433">
        <f>G98*'4C2 Open-burning '!$C$10*'4C2 Open-burning '!$C$11*$C$5*G$15</f>
        <v>0</v>
      </c>
      <c r="AF98" s="433">
        <f>H98*'4C2 Open-burning '!$C$10*'4C2 Open-burning '!$C$11*$C$5*H$15</f>
        <v>0</v>
      </c>
      <c r="AG98" s="433">
        <f>I98*'4C2 Open-burning '!$C$10*'4C2 Open-burning '!$C$11*$C$5*I$15</f>
        <v>5.8986728933892112E-2</v>
      </c>
      <c r="AH98" s="434">
        <f t="shared" si="10"/>
        <v>0.12213167439988395</v>
      </c>
    </row>
    <row r="99" spans="1:34">
      <c r="A99" s="435">
        <f>'Input data'!A128</f>
        <v>2028</v>
      </c>
      <c r="B99" s="107">
        <f>'Recycling - Case 1'!AP108</f>
        <v>9.5406461154401684E-2</v>
      </c>
      <c r="C99" s="473">
        <f>$B99*'Recycling - Case 1'!BM108*'Recycling - Case 1'!$AK108</f>
        <v>617.16128725356532</v>
      </c>
      <c r="D99" s="474">
        <f>$B99*'Recycling - Case 1'!BN108*'Recycling - Case 1'!$AK108</f>
        <v>644.56647454963093</v>
      </c>
      <c r="E99" s="474">
        <f>$B99*'Recycling - Case 1'!BO108*'Recycling - Case 1'!$AK108</f>
        <v>176.05067173828456</v>
      </c>
      <c r="F99" s="474">
        <f>$B99*'Recycling - Case 1'!BP108*'Recycling - Case 1'!$AK108</f>
        <v>0</v>
      </c>
      <c r="G99" s="474">
        <f>$B99*'Recycling - Case 1'!BQ108*'Recycling - Case 1'!$AK108</f>
        <v>0</v>
      </c>
      <c r="H99" s="474">
        <f>$B99*'Recycling - Case 1'!BR108*'Recycling - Case 1'!$AK108</f>
        <v>0</v>
      </c>
      <c r="I99" s="474">
        <f>$B99*'Recycling - Case 1'!BS108*'Recycling - Case 1'!$AK108</f>
        <v>688.29764121056667</v>
      </c>
      <c r="J99" s="663">
        <f t="shared" si="11"/>
        <v>2126.0760747520476</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0.9300123205515316</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23.713230334986442</v>
      </c>
      <c r="R99" s="104">
        <f t="shared" si="8"/>
        <v>24.643242655537975</v>
      </c>
      <c r="S99" s="431">
        <f>C99*'4C2 Open-burning '!$C$9*'4C2 Open-burning '!$C$11*$C$5</f>
        <v>2.4069290202889047</v>
      </c>
      <c r="T99" s="431">
        <f>D99*'4C2 Open-burning '!$C$9*'4C2 Open-burning '!$C$11*$C$5</f>
        <v>2.5138092507435603</v>
      </c>
      <c r="U99" s="431">
        <f>E99*'4C2 Open-burning '!$C$9*'4C2 Open-burning '!$C$11*$C$5</f>
        <v>0.68659761977930978</v>
      </c>
      <c r="V99" s="431">
        <f>F99*'4C2 Open-burning '!$C$9*'4C2 Open-burning '!$C$11*$C$5</f>
        <v>0</v>
      </c>
      <c r="W99" s="431">
        <f>G99*'4C2 Open-burning '!$C$9*'4C2 Open-burning '!$C$11*$C$5</f>
        <v>0</v>
      </c>
      <c r="X99" s="431">
        <f>H99*'4C2 Open-burning '!$C$9*'4C2 Open-burning '!$C$11*$C$5</f>
        <v>0</v>
      </c>
      <c r="Y99" s="431">
        <f>I99*'4C2 Open-burning '!$C$9*'4C2 Open-burning '!$C$11*$C$5</f>
        <v>2.6843608007212096</v>
      </c>
      <c r="Z99" s="432">
        <f t="shared" si="9"/>
        <v>8.2916966915329837</v>
      </c>
      <c r="AA99" s="433">
        <f>C99*'4C2 Open-burning '!$C$10*'4C2 Open-burning '!$C$11*$C$5*C$15</f>
        <v>2.2217806341128351E-2</v>
      </c>
      <c r="AB99" s="433">
        <f>D99*'4C2 Open-burning '!$C$10*'4C2 Open-burning '!$C$11*$C$5*D$15</f>
        <v>2.3204393083786714E-2</v>
      </c>
      <c r="AC99" s="433">
        <f>E99*'4C2 Open-burning '!$C$10*'4C2 Open-burning '!$C$11*$C$5*E$15</f>
        <v>1.426010441080105E-2</v>
      </c>
      <c r="AD99" s="433">
        <f>F99*'4C2 Open-burning '!$C$10*'4C2 Open-burning '!$C$11*$C$5*F$15</f>
        <v>0</v>
      </c>
      <c r="AE99" s="433">
        <f>G99*'4C2 Open-burning '!$C$10*'4C2 Open-burning '!$C$11*$C$5*G$15</f>
        <v>0</v>
      </c>
      <c r="AF99" s="433">
        <f>H99*'4C2 Open-burning '!$C$10*'4C2 Open-burning '!$C$11*$C$5*H$15</f>
        <v>0</v>
      </c>
      <c r="AG99" s="433">
        <f>I99*'4C2 Open-burning '!$C$10*'4C2 Open-burning '!$C$11*$C$5*I$15</f>
        <v>5.5752108938055898E-2</v>
      </c>
      <c r="AH99" s="434">
        <f t="shared" si="10"/>
        <v>0.115434412773772</v>
      </c>
    </row>
    <row r="100" spans="1:34">
      <c r="A100" s="435">
        <f>'Input data'!A129</f>
        <v>2029</v>
      </c>
      <c r="B100" s="107">
        <f>'Recycling - Case 1'!AP109</f>
        <v>9.1677038898610591E-2</v>
      </c>
      <c r="C100" s="473">
        <f>$B100*'Recycling - Case 1'!BM109*'Recycling - Case 1'!$AK109</f>
        <v>583.34132095784526</v>
      </c>
      <c r="D100" s="474">
        <f>$B100*'Recycling - Case 1'!BN109*'Recycling - Case 1'!$AK109</f>
        <v>609.2447249602676</v>
      </c>
      <c r="E100" s="474">
        <f>$B100*'Recycling - Case 1'!BO109*'Recycling - Case 1'!$AK109</f>
        <v>166.40322963927716</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650.57945715084463</v>
      </c>
      <c r="J100" s="663">
        <f t="shared" si="11"/>
        <v>2009.5687327082346</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0.87904835702163109</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22.413763457760897</v>
      </c>
      <c r="R100" s="104">
        <f t="shared" si="8"/>
        <v>23.292811814782528</v>
      </c>
      <c r="S100" s="431">
        <f>C100*'4C2 Open-burning '!$C$9*'4C2 Open-burning '!$C$11*$C$5</f>
        <v>2.2750311517355963</v>
      </c>
      <c r="T100" s="431">
        <f>D100*'4C2 Open-burning '!$C$9*'4C2 Open-burning '!$C$11*$C$5</f>
        <v>2.3760544273450437</v>
      </c>
      <c r="U100" s="431">
        <f>E100*'4C2 Open-burning '!$C$9*'4C2 Open-burning '!$C$11*$C$5</f>
        <v>0.64897259559318077</v>
      </c>
      <c r="V100" s="431">
        <f>F100*'4C2 Open-burning '!$C$9*'4C2 Open-burning '!$C$11*$C$5</f>
        <v>0</v>
      </c>
      <c r="W100" s="431">
        <f>G100*'4C2 Open-burning '!$C$9*'4C2 Open-burning '!$C$11*$C$5</f>
        <v>0</v>
      </c>
      <c r="X100" s="431">
        <f>H100*'4C2 Open-burning '!$C$9*'4C2 Open-burning '!$C$11*$C$5</f>
        <v>0</v>
      </c>
      <c r="Y100" s="431">
        <f>I100*'4C2 Open-burning '!$C$9*'4C2 Open-burning '!$C$11*$C$5</f>
        <v>2.5372598828882937</v>
      </c>
      <c r="Z100" s="432">
        <f t="shared" si="9"/>
        <v>7.837318057562114</v>
      </c>
      <c r="AA100" s="433">
        <f>C100*'4C2 Open-burning '!$C$10*'4C2 Open-burning '!$C$11*$C$5*C$15</f>
        <v>2.1000287554482428E-2</v>
      </c>
      <c r="AB100" s="433">
        <f>D100*'4C2 Open-burning '!$C$10*'4C2 Open-burning '!$C$11*$C$5*D$15</f>
        <v>2.1932810098569632E-2</v>
      </c>
      <c r="AC100" s="433">
        <f>E100*'4C2 Open-burning '!$C$10*'4C2 Open-burning '!$C$11*$C$5*E$15</f>
        <v>1.3478661600781448E-2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5.2696936029218405E-2</v>
      </c>
      <c r="AH100" s="434">
        <f t="shared" si="10"/>
        <v>0.10910869528305192</v>
      </c>
    </row>
    <row r="101" spans="1:34">
      <c r="A101" s="435">
        <f>'Input data'!A130</f>
        <v>2030</v>
      </c>
      <c r="B101" s="107">
        <f>'Recycling - Case 1'!AP110</f>
        <v>8.802355604111399E-2</v>
      </c>
      <c r="C101" s="473">
        <f>$B101*'Recycling - Case 1'!BM110*'Recycling - Case 1'!$AK110</f>
        <v>551.39600357520544</v>
      </c>
      <c r="D101" s="474">
        <f>$B101*'Recycling - Case 1'!BN110*'Recycling - Case 1'!$AK110</f>
        <v>575.88086849524382</v>
      </c>
      <c r="E101" s="474">
        <f>$B101*'Recycling - Case 1'!BO110*'Recycling - Case 1'!$AK110</f>
        <v>157.29054758960771</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614.95200115786997</v>
      </c>
      <c r="J101" s="663">
        <f t="shared" si="11"/>
        <v>1899.5194208179271</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0.83090933831876523</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21.186326343890933</v>
      </c>
      <c r="R101" s="104">
        <f t="shared" si="8"/>
        <v>22.017235682209698</v>
      </c>
      <c r="S101" s="431">
        <f>C101*'4C2 Open-burning '!$C$9*'4C2 Open-burning '!$C$11*$C$5</f>
        <v>2.1504444139433008</v>
      </c>
      <c r="T101" s="431">
        <f>D101*'4C2 Open-burning '!$C$9*'4C2 Open-burning '!$C$11*$C$5</f>
        <v>2.2459353871314507</v>
      </c>
      <c r="U101" s="431">
        <f>E101*'4C2 Open-burning '!$C$9*'4C2 Open-burning '!$C$11*$C$5</f>
        <v>0.6134331355994701</v>
      </c>
      <c r="V101" s="431">
        <f>F101*'4C2 Open-burning '!$C$9*'4C2 Open-burning '!$C$11*$C$5</f>
        <v>0</v>
      </c>
      <c r="W101" s="431">
        <f>G101*'4C2 Open-burning '!$C$9*'4C2 Open-burning '!$C$11*$C$5</f>
        <v>0</v>
      </c>
      <c r="X101" s="431">
        <f>H101*'4C2 Open-burning '!$C$9*'4C2 Open-burning '!$C$11*$C$5</f>
        <v>0</v>
      </c>
      <c r="Y101" s="431">
        <f>I101*'4C2 Open-burning '!$C$9*'4C2 Open-burning '!$C$11*$C$5</f>
        <v>2.3983128045156925</v>
      </c>
      <c r="Z101" s="432">
        <f t="shared" si="9"/>
        <v>7.4081257411899131</v>
      </c>
      <c r="AA101" s="433">
        <f>C101*'4C2 Open-burning '!$C$10*'4C2 Open-burning '!$C$11*$C$5*C$15</f>
        <v>1.9850256128707392E-2</v>
      </c>
      <c r="AB101" s="433">
        <f>D101*'4C2 Open-burning '!$C$10*'4C2 Open-burning '!$C$11*$C$5*D$15</f>
        <v>2.0731711265828776E-2</v>
      </c>
      <c r="AC101" s="433">
        <f>E101*'4C2 Open-burning '!$C$10*'4C2 Open-burning '!$C$11*$C$5*E$15</f>
        <v>1.2740534354758224E-2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4.9811112093787469E-2</v>
      </c>
      <c r="AH101" s="434">
        <f t="shared" si="10"/>
        <v>0.10313361384308185</v>
      </c>
    </row>
    <row r="102" spans="1:34">
      <c r="A102" s="435">
        <f>'Input data'!A131</f>
        <v>2031</v>
      </c>
      <c r="B102" s="107">
        <f>'Recycling - Case 1'!AP111</f>
        <v>8.479165593890553E-2</v>
      </c>
      <c r="C102" s="473">
        <f>$B102*'Recycling - Case 1'!BM111*'Recycling - Case 1'!$AK111</f>
        <v>523.9406879501845</v>
      </c>
      <c r="D102" s="474">
        <f>$B102*'Recycling - Case 1'!BN111*'Recycling - Case 1'!$AK111</f>
        <v>547.20639333686222</v>
      </c>
      <c r="E102" s="474">
        <f>$B102*'Recycling - Case 1'!BO111*'Recycling - Case 1'!$AK111</f>
        <v>149.45867793349032</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584.33208157819399</v>
      </c>
      <c r="J102" s="663">
        <f t="shared" si="11"/>
        <v>1804.937840798731</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0.78953639039857326</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20.131408874531939</v>
      </c>
      <c r="R102" s="104">
        <f t="shared" si="8"/>
        <v>20.920945264930513</v>
      </c>
      <c r="S102" s="431">
        <f>C102*'4C2 Open-burning '!$C$9*'4C2 Open-burning '!$C$11*$C$5</f>
        <v>2.0433686830057192</v>
      </c>
      <c r="T102" s="431">
        <f>D102*'4C2 Open-burning '!$C$9*'4C2 Open-burning '!$C$11*$C$5</f>
        <v>2.1341049340137626</v>
      </c>
      <c r="U102" s="431">
        <f>E102*'4C2 Open-burning '!$C$9*'4C2 Open-burning '!$C$11*$C$5</f>
        <v>0.58288884394061213</v>
      </c>
      <c r="V102" s="431">
        <f>F102*'4C2 Open-burning '!$C$9*'4C2 Open-burning '!$C$11*$C$5</f>
        <v>0</v>
      </c>
      <c r="W102" s="431">
        <f>G102*'4C2 Open-burning '!$C$9*'4C2 Open-burning '!$C$11*$C$5</f>
        <v>0</v>
      </c>
      <c r="X102" s="431">
        <f>H102*'4C2 Open-burning '!$C$9*'4C2 Open-burning '!$C$11*$C$5</f>
        <v>0</v>
      </c>
      <c r="Y102" s="431">
        <f>I102*'4C2 Open-burning '!$C$9*'4C2 Open-burning '!$C$11*$C$5</f>
        <v>2.2788951181549564</v>
      </c>
      <c r="Z102" s="432">
        <f t="shared" si="9"/>
        <v>7.0392575791150502</v>
      </c>
      <c r="AA102" s="433">
        <f>C102*'4C2 Open-burning '!$C$10*'4C2 Open-burning '!$C$11*$C$5*C$15</f>
        <v>1.8861864766206642E-2</v>
      </c>
      <c r="AB102" s="433">
        <f>D102*'4C2 Open-burning '!$C$10*'4C2 Open-burning '!$C$11*$C$5*D$15</f>
        <v>1.9699430160127041E-2</v>
      </c>
      <c r="AC102" s="433">
        <f>E102*'4C2 Open-burning '!$C$10*'4C2 Open-burning '!$C$11*$C$5*E$15</f>
        <v>1.2106152912612715E-2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4.7330898607833703E-2</v>
      </c>
      <c r="AH102" s="434">
        <f t="shared" si="10"/>
        <v>9.7998346446780099E-2</v>
      </c>
    </row>
    <row r="103" spans="1:34">
      <c r="A103" s="435">
        <f>'Input data'!A132</f>
        <v>2032</v>
      </c>
      <c r="B103" s="107">
        <f>'Recycling - Case 1'!AP112</f>
        <v>8.1490216412465677E-2</v>
      </c>
      <c r="C103" s="473">
        <f>$B103*'Recycling - Case 1'!BM112*'Recycling - Case 1'!$AK112</f>
        <v>496.63678075011467</v>
      </c>
      <c r="D103" s="474">
        <f>$B103*'Recycling - Case 1'!BN112*'Recycling - Case 1'!$AK112</f>
        <v>518.69004992897044</v>
      </c>
      <c r="E103" s="474">
        <f>$B103*'Recycling - Case 1'!BO112*'Recycling - Case 1'!$AK112</f>
        <v>141.66999885894373</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553.88102233358052</v>
      </c>
      <c r="J103" s="663">
        <f t="shared" si="11"/>
        <v>1710.8778518716094</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0.74839160277221051</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19.082308981436515</v>
      </c>
      <c r="R103" s="104">
        <f t="shared" si="8"/>
        <v>19.830700584208724</v>
      </c>
      <c r="S103" s="431">
        <f>C103*'4C2 Open-burning '!$C$9*'4C2 Open-burning '!$C$11*$C$5</f>
        <v>1.9368834449254471</v>
      </c>
      <c r="T103" s="431">
        <f>D103*'4C2 Open-burning '!$C$9*'4C2 Open-burning '!$C$11*$C$5</f>
        <v>2.0228911947229844</v>
      </c>
      <c r="U103" s="431">
        <f>E103*'4C2 Open-burning '!$C$9*'4C2 Open-burning '!$C$11*$C$5</f>
        <v>0.55251299554988054</v>
      </c>
      <c r="V103" s="431">
        <f>F103*'4C2 Open-burning '!$C$9*'4C2 Open-burning '!$C$11*$C$5</f>
        <v>0</v>
      </c>
      <c r="W103" s="431">
        <f>G103*'4C2 Open-burning '!$C$9*'4C2 Open-burning '!$C$11*$C$5</f>
        <v>0</v>
      </c>
      <c r="X103" s="431">
        <f>H103*'4C2 Open-burning '!$C$9*'4C2 Open-burning '!$C$11*$C$5</f>
        <v>0</v>
      </c>
      <c r="Y103" s="431">
        <f>I103*'4C2 Open-burning '!$C$9*'4C2 Open-burning '!$C$11*$C$5</f>
        <v>2.160135987100964</v>
      </c>
      <c r="Z103" s="432">
        <f t="shared" si="9"/>
        <v>6.6724236222992763</v>
      </c>
      <c r="AA103" s="433">
        <f>C103*'4C2 Open-burning '!$C$10*'4C2 Open-burning '!$C$11*$C$5*C$15</f>
        <v>1.7878924107004129E-2</v>
      </c>
      <c r="AB103" s="433">
        <f>D103*'4C2 Open-burning '!$C$10*'4C2 Open-burning '!$C$11*$C$5*D$15</f>
        <v>1.8672841797442934E-2</v>
      </c>
      <c r="AC103" s="433">
        <f>E103*'4C2 Open-burning '!$C$10*'4C2 Open-burning '!$C$11*$C$5*E$15</f>
        <v>1.1475269907574441E-2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4.4864362809020022E-2</v>
      </c>
      <c r="AH103" s="434">
        <f t="shared" si="10"/>
        <v>9.2891398621041524E-2</v>
      </c>
    </row>
    <row r="104" spans="1:34">
      <c r="A104" s="435">
        <f>'Input data'!A133</f>
        <v>2033</v>
      </c>
      <c r="B104" s="107">
        <f>'Recycling - Case 1'!AP113</f>
        <v>7.8116334158114337E-2</v>
      </c>
      <c r="C104" s="473">
        <f>$B104*'Recycling - Case 1'!BM113*'Recycling - Case 1'!$AK113</f>
        <v>469.48127443619666</v>
      </c>
      <c r="D104" s="474">
        <f>$B104*'Recycling - Case 1'!BN113*'Recycling - Case 1'!$AK113</f>
        <v>490.32869718232462</v>
      </c>
      <c r="E104" s="474">
        <f>$B104*'Recycling - Case 1'!BO113*'Recycling - Case 1'!$AK113</f>
        <v>133.92365243913937</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523.59546922488551</v>
      </c>
      <c r="J104" s="663">
        <f t="shared" si="11"/>
        <v>1617.3290932825462</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0.70747044332109521</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18.038911105735753</v>
      </c>
      <c r="R104" s="104">
        <f t="shared" si="8"/>
        <v>18.746381549056849</v>
      </c>
      <c r="S104" s="431">
        <f>C104*'4C2 Open-burning '!$C$9*'4C2 Open-burning '!$C$11*$C$5</f>
        <v>1.8309769703011669</v>
      </c>
      <c r="T104" s="431">
        <f>D104*'4C2 Open-burning '!$C$9*'4C2 Open-burning '!$C$11*$C$5</f>
        <v>1.9122819190110658</v>
      </c>
      <c r="U104" s="431">
        <f>E104*'4C2 Open-burning '!$C$9*'4C2 Open-burning '!$C$11*$C$5</f>
        <v>0.52230224451264351</v>
      </c>
      <c r="V104" s="431">
        <f>F104*'4C2 Open-burning '!$C$9*'4C2 Open-burning '!$C$11*$C$5</f>
        <v>0</v>
      </c>
      <c r="W104" s="431">
        <f>G104*'4C2 Open-burning '!$C$9*'4C2 Open-burning '!$C$11*$C$5</f>
        <v>0</v>
      </c>
      <c r="X104" s="431">
        <f>H104*'4C2 Open-burning '!$C$9*'4C2 Open-burning '!$C$11*$C$5</f>
        <v>0</v>
      </c>
      <c r="Y104" s="431">
        <f>I104*'4C2 Open-burning '!$C$9*'4C2 Open-burning '!$C$11*$C$5</f>
        <v>2.0420223299770535</v>
      </c>
      <c r="Z104" s="432">
        <f t="shared" si="9"/>
        <v>6.3075834638019295</v>
      </c>
      <c r="AA104" s="433">
        <f>C104*'4C2 Open-burning '!$C$10*'4C2 Open-burning '!$C$11*$C$5*C$15</f>
        <v>1.690132587970308E-2</v>
      </c>
      <c r="AB104" s="433">
        <f>D104*'4C2 Open-burning '!$C$10*'4C2 Open-burning '!$C$11*$C$5*D$15</f>
        <v>1.7651833098563687E-2</v>
      </c>
      <c r="AC104" s="433">
        <f>E104*'4C2 Open-burning '!$C$10*'4C2 Open-burning '!$C$11*$C$5*E$15</f>
        <v>1.0847815847570288E-2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4.2411233007215735E-2</v>
      </c>
      <c r="AH104" s="434">
        <f t="shared" si="10"/>
        <v>8.7812207833052797E-2</v>
      </c>
    </row>
    <row r="105" spans="1:34">
      <c r="A105" s="435">
        <f>'Input data'!A134</f>
        <v>2034</v>
      </c>
      <c r="B105" s="107">
        <f>'Recycling - Case 1'!AP114</f>
        <v>7.466697013496236E-2</v>
      </c>
      <c r="C105" s="473">
        <f>$B105*'Recycling - Case 1'!BM114*'Recycling - Case 1'!$AK114</f>
        <v>442.47123134371031</v>
      </c>
      <c r="D105" s="474">
        <f>$B105*'Recycling - Case 1'!BN114*'Recycling - Case 1'!$AK114</f>
        <v>462.11926698453482</v>
      </c>
      <c r="E105" s="474">
        <f>$B105*'Recycling - Case 1'!BO114*'Recycling - Case 1'!$AK114</f>
        <v>126.21880067944282</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493.47214598099595</v>
      </c>
      <c r="J105" s="663">
        <f t="shared" si="11"/>
        <v>1524.2814449886839</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0.66676848522125187</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17.001102373337272</v>
      </c>
      <c r="R105" s="104">
        <f t="shared" si="8"/>
        <v>17.667870858558523</v>
      </c>
      <c r="S105" s="431">
        <f>C105*'4C2 Open-burning '!$C$9*'4C2 Open-burning '!$C$11*$C$5</f>
        <v>1.7256378022404701</v>
      </c>
      <c r="T105" s="431">
        <f>D105*'4C2 Open-burning '!$C$9*'4C2 Open-burning '!$C$11*$C$5</f>
        <v>1.8022651412396855</v>
      </c>
      <c r="U105" s="431">
        <f>E105*'4C2 Open-burning '!$C$9*'4C2 Open-burning '!$C$11*$C$5</f>
        <v>0.49225332264982691</v>
      </c>
      <c r="V105" s="431">
        <f>F105*'4C2 Open-burning '!$C$9*'4C2 Open-burning '!$C$11*$C$5</f>
        <v>0</v>
      </c>
      <c r="W105" s="431">
        <f>G105*'4C2 Open-burning '!$C$9*'4C2 Open-burning '!$C$11*$C$5</f>
        <v>0</v>
      </c>
      <c r="X105" s="431">
        <f>H105*'4C2 Open-burning '!$C$9*'4C2 Open-burning '!$C$11*$C$5</f>
        <v>0</v>
      </c>
      <c r="Y105" s="431">
        <f>I105*'4C2 Open-burning '!$C$9*'4C2 Open-burning '!$C$11*$C$5</f>
        <v>1.9245413693258842</v>
      </c>
      <c r="Z105" s="432">
        <f t="shared" si="9"/>
        <v>5.9446976354558663</v>
      </c>
      <c r="AA105" s="433">
        <f>C105*'4C2 Open-burning '!$C$10*'4C2 Open-burning '!$C$11*$C$5*C$15</f>
        <v>1.5928964328373568E-2</v>
      </c>
      <c r="AB105" s="433">
        <f>D105*'4C2 Open-burning '!$C$10*'4C2 Open-burning '!$C$11*$C$5*D$15</f>
        <v>1.663629361144325E-2</v>
      </c>
      <c r="AC105" s="433">
        <f>E105*'4C2 Open-burning '!$C$10*'4C2 Open-burning '!$C$11*$C$5*E$15</f>
        <v>1.0223722855034869E-2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3.9971243824460663E-2</v>
      </c>
      <c r="AH105" s="434">
        <f t="shared" si="10"/>
        <v>8.2760224619312345E-2</v>
      </c>
    </row>
    <row r="106" spans="1:34">
      <c r="A106" s="435">
        <f>'Input data'!A135</f>
        <v>2035</v>
      </c>
      <c r="B106" s="107">
        <f>'Recycling - Case 1'!AP115</f>
        <v>7.1138941103124659E-2</v>
      </c>
      <c r="C106" s="473">
        <f>$B106*'Recycling - Case 1'!BM115*'Recycling - Case 1'!$AK115</f>
        <v>415.60378170487979</v>
      </c>
      <c r="D106" s="474">
        <f>$B106*'Recycling - Case 1'!BN115*'Recycling - Case 1'!$AK115</f>
        <v>434.05876213513454</v>
      </c>
      <c r="E106" s="474">
        <f>$B106*'Recycling - Case 1'!BO115*'Recycling - Case 1'!$AK115</f>
        <v>118.55462495341855</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463.50785205380271</v>
      </c>
      <c r="J106" s="663">
        <f t="shared" si="11"/>
        <v>1431.7250208472356</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0.62628140396392695</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15.968772518957609</v>
      </c>
      <c r="R106" s="104">
        <f t="shared" si="8"/>
        <v>16.595053922921537</v>
      </c>
      <c r="S106" s="431">
        <f>C106*'4C2 Open-burning '!$C$9*'4C2 Open-burning '!$C$11*$C$5</f>
        <v>1.620854748649031</v>
      </c>
      <c r="T106" s="431">
        <f>D106*'4C2 Open-burning '!$C$9*'4C2 Open-burning '!$C$11*$C$5</f>
        <v>1.6928291723270246</v>
      </c>
      <c r="U106" s="431">
        <f>E106*'4C2 Open-burning '!$C$9*'4C2 Open-burning '!$C$11*$C$5</f>
        <v>0.46236303731833234</v>
      </c>
      <c r="V106" s="431">
        <f>F106*'4C2 Open-burning '!$C$9*'4C2 Open-burning '!$C$11*$C$5</f>
        <v>0</v>
      </c>
      <c r="W106" s="431">
        <f>G106*'4C2 Open-burning '!$C$9*'4C2 Open-burning '!$C$11*$C$5</f>
        <v>0</v>
      </c>
      <c r="X106" s="431">
        <f>H106*'4C2 Open-burning '!$C$9*'4C2 Open-burning '!$C$11*$C$5</f>
        <v>0</v>
      </c>
      <c r="Y106" s="431">
        <f>I106*'4C2 Open-burning '!$C$9*'4C2 Open-burning '!$C$11*$C$5</f>
        <v>1.8076806230098303</v>
      </c>
      <c r="Z106" s="432">
        <f t="shared" si="9"/>
        <v>5.5837275813042186</v>
      </c>
      <c r="AA106" s="433">
        <f>C106*'4C2 Open-burning '!$C$10*'4C2 Open-burning '!$C$11*$C$5*C$15</f>
        <v>1.4961736141375673E-2</v>
      </c>
      <c r="AB106" s="433">
        <f>D106*'4C2 Open-burning '!$C$10*'4C2 Open-burning '!$C$11*$C$5*D$15</f>
        <v>1.5626115436864842E-2</v>
      </c>
      <c r="AC106" s="433">
        <f>E106*'4C2 Open-burning '!$C$10*'4C2 Open-burning '!$C$11*$C$5*E$15</f>
        <v>9.602924621226902E-3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3.7544136016358018E-2</v>
      </c>
      <c r="AH106" s="434">
        <f t="shared" si="10"/>
        <v>7.773491221582543E-2</v>
      </c>
    </row>
    <row r="107" spans="1:34">
      <c r="A107" s="435">
        <f>'Input data'!A136</f>
        <v>2036</v>
      </c>
      <c r="B107" s="107">
        <f>'Recycling - Case 1'!AP116</f>
        <v>6.7583591152434661E-2</v>
      </c>
      <c r="C107" s="473">
        <f>$B107*'Recycling - Case 1'!BM116*'Recycling - Case 1'!$AK116</f>
        <v>389.0095511435855</v>
      </c>
      <c r="D107" s="474">
        <f>$B107*'Recycling - Case 1'!BN116*'Recycling - Case 1'!$AK116</f>
        <v>406.28360871853556</v>
      </c>
      <c r="E107" s="474">
        <f>$B107*'Recycling - Case 1'!BO116*'Recycling - Case 1'!$AK116</f>
        <v>110.96838736629807</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433.8482694727129</v>
      </c>
      <c r="J107" s="663">
        <f t="shared" si="11"/>
        <v>1340.1098167011319</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0.58620604183670089</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14.946940579873903</v>
      </c>
      <c r="R107" s="104">
        <f t="shared" si="8"/>
        <v>15.533146621710603</v>
      </c>
      <c r="S107" s="431">
        <f>C107*'4C2 Open-burning '!$C$9*'4C2 Open-burning '!$C$11*$C$5</f>
        <v>1.5171372494599833</v>
      </c>
      <c r="T107" s="431">
        <f>D107*'4C2 Open-burning '!$C$9*'4C2 Open-burning '!$C$11*$C$5</f>
        <v>1.5845060740022887</v>
      </c>
      <c r="U107" s="431">
        <f>E107*'4C2 Open-burning '!$C$9*'4C2 Open-burning '!$C$11*$C$5</f>
        <v>0.43277671072856239</v>
      </c>
      <c r="V107" s="431">
        <f>F107*'4C2 Open-burning '!$C$9*'4C2 Open-burning '!$C$11*$C$5</f>
        <v>0</v>
      </c>
      <c r="W107" s="431">
        <f>G107*'4C2 Open-burning '!$C$9*'4C2 Open-burning '!$C$11*$C$5</f>
        <v>0</v>
      </c>
      <c r="X107" s="431">
        <f>H107*'4C2 Open-burning '!$C$9*'4C2 Open-burning '!$C$11*$C$5</f>
        <v>0</v>
      </c>
      <c r="Y107" s="431">
        <f>I107*'4C2 Open-burning '!$C$9*'4C2 Open-burning '!$C$11*$C$5</f>
        <v>1.6920082509435799</v>
      </c>
      <c r="Z107" s="432">
        <f t="shared" si="9"/>
        <v>5.2264282851344142</v>
      </c>
      <c r="AA107" s="433">
        <f>C107*'4C2 Open-burning '!$C$10*'4C2 Open-burning '!$C$11*$C$5*C$15</f>
        <v>1.400434384116908E-2</v>
      </c>
      <c r="AB107" s="433">
        <f>D107*'4C2 Open-burning '!$C$10*'4C2 Open-burning '!$C$11*$C$5*D$15</f>
        <v>1.4626209913867282E-2</v>
      </c>
      <c r="AC107" s="433">
        <f>E107*'4C2 Open-burning '!$C$10*'4C2 Open-burning '!$C$11*$C$5*E$15</f>
        <v>8.9884393766701421E-3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3.5141709827289744E-2</v>
      </c>
      <c r="AH107" s="434">
        <f t="shared" si="10"/>
        <v>7.2760702958996254E-2</v>
      </c>
    </row>
    <row r="108" spans="1:34">
      <c r="A108" s="435">
        <f>'Input data'!A137</f>
        <v>2037</v>
      </c>
      <c r="B108" s="107">
        <f>'Recycling - Case 1'!AP117</f>
        <v>6.6151246975557451E-2</v>
      </c>
      <c r="C108" s="473">
        <f>$B108*'Recycling - Case 1'!BM117*'Recycling - Case 1'!$AK117</f>
        <v>379.57019614335758</v>
      </c>
      <c r="D108" s="474">
        <f>$B108*'Recycling - Case 1'!BN117*'Recycling - Case 1'!$AK117</f>
        <v>396.42509701311883</v>
      </c>
      <c r="E108" s="474">
        <f>$B108*'Recycling - Case 1'!BO117*'Recycling - Case 1'!$AK117</f>
        <v>108.27572853806619</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423.3208985643418</v>
      </c>
      <c r="J108" s="663">
        <f t="shared" si="11"/>
        <v>1307.5919202588846</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0.57198169460433002</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14.584251597338703</v>
      </c>
      <c r="R108" s="104">
        <f t="shared" si="8"/>
        <v>15.156233291943034</v>
      </c>
      <c r="S108" s="431">
        <f>C108*'4C2 Open-burning '!$C$9*'4C2 Open-burning '!$C$11*$C$5</f>
        <v>1.4803237649590943</v>
      </c>
      <c r="T108" s="431">
        <f>D108*'4C2 Open-burning '!$C$9*'4C2 Open-burning '!$C$11*$C$5</f>
        <v>1.5460578783511632</v>
      </c>
      <c r="U108" s="431">
        <f>E108*'4C2 Open-burning '!$C$9*'4C2 Open-burning '!$C$11*$C$5</f>
        <v>0.42227534129845812</v>
      </c>
      <c r="V108" s="431">
        <f>F108*'4C2 Open-burning '!$C$9*'4C2 Open-burning '!$C$11*$C$5</f>
        <v>0</v>
      </c>
      <c r="W108" s="431">
        <f>G108*'4C2 Open-burning '!$C$9*'4C2 Open-burning '!$C$11*$C$5</f>
        <v>0</v>
      </c>
      <c r="X108" s="431">
        <f>H108*'4C2 Open-burning '!$C$9*'4C2 Open-burning '!$C$11*$C$5</f>
        <v>0</v>
      </c>
      <c r="Y108" s="431">
        <f>I108*'4C2 Open-burning '!$C$9*'4C2 Open-burning '!$C$11*$C$5</f>
        <v>1.6509515044009329</v>
      </c>
      <c r="Z108" s="432">
        <f t="shared" si="9"/>
        <v>5.0996084890096478</v>
      </c>
      <c r="AA108" s="433">
        <f>C108*'4C2 Open-burning '!$C$10*'4C2 Open-burning '!$C$11*$C$5*C$15</f>
        <v>1.3664527061160871E-2</v>
      </c>
      <c r="AB108" s="433">
        <f>D108*'4C2 Open-burning '!$C$10*'4C2 Open-burning '!$C$11*$C$5*D$15</f>
        <v>1.4271303492472277E-2</v>
      </c>
      <c r="AC108" s="433">
        <f>E108*'4C2 Open-burning '!$C$10*'4C2 Open-burning '!$C$11*$C$5*E$15</f>
        <v>8.7703340115833604E-3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3.4288992783711683E-2</v>
      </c>
      <c r="AH108" s="434">
        <f t="shared" si="10"/>
        <v>7.0995157348928195E-2</v>
      </c>
    </row>
    <row r="109" spans="1:34">
      <c r="A109" s="435">
        <f>'Input data'!A138</f>
        <v>2038</v>
      </c>
      <c r="B109" s="107">
        <f>'Recycling - Case 1'!AP118</f>
        <v>6.3722555709803425E-2</v>
      </c>
      <c r="C109" s="473">
        <f>$B109*'Recycling - Case 1'!BM118*'Recycling - Case 1'!$AK118</f>
        <v>362.55825406346776</v>
      </c>
      <c r="D109" s="474">
        <f>$B109*'Recycling - Case 1'!BN118*'Recycling - Case 1'!$AK118</f>
        <v>378.65773577684627</v>
      </c>
      <c r="E109" s="474">
        <f>$B109*'Recycling - Case 1'!BO118*'Recycling - Case 1'!$AK118</f>
        <v>103.42292280868335</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404.34809542870363</v>
      </c>
      <c r="J109" s="663">
        <f t="shared" si="11"/>
        <v>1248.9870080777009</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0.54634606894606297</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13.930600583709696</v>
      </c>
      <c r="R109" s="104">
        <f t="shared" si="8"/>
        <v>14.476946652655759</v>
      </c>
      <c r="S109" s="431">
        <f>C109*'4C2 Open-burning '!$C$9*'4C2 Open-burning '!$C$11*$C$5</f>
        <v>1.4139771908475243</v>
      </c>
      <c r="T109" s="431">
        <f>D109*'4C2 Open-burning '!$C$9*'4C2 Open-burning '!$C$11*$C$5</f>
        <v>1.4767651695297004</v>
      </c>
      <c r="U109" s="431">
        <f>E109*'4C2 Open-burning '!$C$9*'4C2 Open-burning '!$C$11*$C$5</f>
        <v>0.40334939895386507</v>
      </c>
      <c r="V109" s="431">
        <f>F109*'4C2 Open-burning '!$C$9*'4C2 Open-burning '!$C$11*$C$5</f>
        <v>0</v>
      </c>
      <c r="W109" s="431">
        <f>G109*'4C2 Open-burning '!$C$9*'4C2 Open-burning '!$C$11*$C$5</f>
        <v>0</v>
      </c>
      <c r="X109" s="431">
        <f>H109*'4C2 Open-burning '!$C$9*'4C2 Open-burning '!$C$11*$C$5</f>
        <v>0</v>
      </c>
      <c r="Y109" s="431">
        <f>I109*'4C2 Open-burning '!$C$9*'4C2 Open-burning '!$C$11*$C$5</f>
        <v>1.576957572171944</v>
      </c>
      <c r="Z109" s="432">
        <f t="shared" si="9"/>
        <v>4.8710493315030332</v>
      </c>
      <c r="AA109" s="433">
        <f>C109*'4C2 Open-burning '!$C$10*'4C2 Open-burning '!$C$11*$C$5*C$15</f>
        <v>1.3052097146284839E-2</v>
      </c>
      <c r="AB109" s="433">
        <f>D109*'4C2 Open-burning '!$C$10*'4C2 Open-burning '!$C$11*$C$5*D$15</f>
        <v>1.3631678487966465E-2</v>
      </c>
      <c r="AC109" s="433">
        <f>E109*'4C2 Open-burning '!$C$10*'4C2 Open-burning '!$C$11*$C$5*E$15</f>
        <v>8.3772567475033505E-3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3.2752195729724994E-2</v>
      </c>
      <c r="AH109" s="434">
        <f t="shared" si="10"/>
        <v>6.7813228111479648E-2</v>
      </c>
    </row>
    <row r="110" spans="1:34">
      <c r="A110" s="435">
        <f>'Input data'!A139</f>
        <v>2039</v>
      </c>
      <c r="B110" s="107">
        <f>'Recycling - Case 1'!AP119</f>
        <v>6.1263360258208409E-2</v>
      </c>
      <c r="C110" s="473">
        <f>$B110*'Recycling - Case 1'!BM119*'Recycling - Case 1'!$AK119</f>
        <v>345.621044908763</v>
      </c>
      <c r="D110" s="474">
        <f>$B110*'Recycling - Case 1'!BN119*'Recycling - Case 1'!$AK119</f>
        <v>360.96842599829495</v>
      </c>
      <c r="E110" s="474">
        <f>$B110*'Recycling - Case 1'!BO119*'Recycling - Case 1'!$AK119</f>
        <v>98.591435301864891</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385.45863921904413</v>
      </c>
      <c r="J110" s="663">
        <f t="shared" si="11"/>
        <v>1190.6395454279668</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0.52082305978304355</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13.279821038374507</v>
      </c>
      <c r="R110" s="104">
        <f t="shared" si="8"/>
        <v>13.800644098157552</v>
      </c>
      <c r="S110" s="431">
        <f>C110*'4C2 Open-burning '!$C$9*'4C2 Open-burning '!$C$11*$C$5</f>
        <v>1.3479220751441756</v>
      </c>
      <c r="T110" s="431">
        <f>D110*'4C2 Open-burning '!$C$9*'4C2 Open-burning '!$C$11*$C$5</f>
        <v>1.4077768613933501</v>
      </c>
      <c r="U110" s="431">
        <f>E110*'4C2 Open-burning '!$C$9*'4C2 Open-burning '!$C$11*$C$5</f>
        <v>0.38450659767727308</v>
      </c>
      <c r="V110" s="431">
        <f>F110*'4C2 Open-burning '!$C$9*'4C2 Open-burning '!$C$11*$C$5</f>
        <v>0</v>
      </c>
      <c r="W110" s="431">
        <f>G110*'4C2 Open-burning '!$C$9*'4C2 Open-burning '!$C$11*$C$5</f>
        <v>0</v>
      </c>
      <c r="X110" s="431">
        <f>H110*'4C2 Open-burning '!$C$9*'4C2 Open-burning '!$C$11*$C$5</f>
        <v>0</v>
      </c>
      <c r="Y110" s="431">
        <f>I110*'4C2 Open-burning '!$C$9*'4C2 Open-burning '!$C$11*$C$5</f>
        <v>1.5032886929542719</v>
      </c>
      <c r="Z110" s="432">
        <f t="shared" si="9"/>
        <v>4.6434942271690707</v>
      </c>
      <c r="AA110" s="433">
        <f>C110*'4C2 Open-burning '!$C$10*'4C2 Open-burning '!$C$11*$C$5*C$15</f>
        <v>1.2442357616715468E-2</v>
      </c>
      <c r="AB110" s="433">
        <f>D110*'4C2 Open-burning '!$C$10*'4C2 Open-burning '!$C$11*$C$5*D$15</f>
        <v>1.2994863335938618E-2</v>
      </c>
      <c r="AC110" s="433">
        <f>E110*'4C2 Open-burning '!$C$10*'4C2 Open-burning '!$C$11*$C$5*E$15</f>
        <v>7.9859062594510553E-3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3.1222149776742571E-2</v>
      </c>
      <c r="AH110" s="434">
        <f t="shared" si="10"/>
        <v>6.46452769888477E-2</v>
      </c>
    </row>
    <row r="111" spans="1:34">
      <c r="A111" s="435">
        <f>'Input data'!A140</f>
        <v>2040</v>
      </c>
      <c r="B111" s="107">
        <f>'Recycling - Case 1'!AP120</f>
        <v>5.8772920332941909E-2</v>
      </c>
      <c r="C111" s="473">
        <f>$B111*'Recycling - Case 1'!BM120*'Recycling - Case 1'!$AK120</f>
        <v>328.75732500361454</v>
      </c>
      <c r="D111" s="474">
        <f>$B111*'Recycling - Case 1'!BN120*'Recycling - Case 1'!$AK120</f>
        <v>343.35586877613713</v>
      </c>
      <c r="E111" s="474">
        <f>$B111*'Recycling - Case 1'!BO120*'Recycling - Case 1'!$AK120</f>
        <v>93.780911248226573</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366.65114290895809</v>
      </c>
      <c r="J111" s="663">
        <f t="shared" si="11"/>
        <v>1132.5452479369362</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0.49541079299633162</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12.631865175499422</v>
      </c>
      <c r="R111" s="104">
        <f t="shared" si="8"/>
        <v>13.127275968495754</v>
      </c>
      <c r="S111" s="431">
        <f>C111*'4C2 Open-burning '!$C$9*'4C2 Open-burning '!$C$11*$C$5</f>
        <v>1.2821535675140965</v>
      </c>
      <c r="T111" s="431">
        <f>D111*'4C2 Open-burning '!$C$9*'4C2 Open-burning '!$C$11*$C$5</f>
        <v>1.3390878882269346</v>
      </c>
      <c r="U111" s="431">
        <f>E111*'4C2 Open-burning '!$C$9*'4C2 Open-burning '!$C$11*$C$5</f>
        <v>0.36574555386808366</v>
      </c>
      <c r="V111" s="431">
        <f>F111*'4C2 Open-burning '!$C$9*'4C2 Open-burning '!$C$11*$C$5</f>
        <v>0</v>
      </c>
      <c r="W111" s="431">
        <f>G111*'4C2 Open-burning '!$C$9*'4C2 Open-burning '!$C$11*$C$5</f>
        <v>0</v>
      </c>
      <c r="X111" s="431">
        <f>H111*'4C2 Open-burning '!$C$9*'4C2 Open-burning '!$C$11*$C$5</f>
        <v>0</v>
      </c>
      <c r="Y111" s="431">
        <f>I111*'4C2 Open-burning '!$C$9*'4C2 Open-burning '!$C$11*$C$5</f>
        <v>1.4299394573449362</v>
      </c>
      <c r="Z111" s="432">
        <f t="shared" si="9"/>
        <v>4.4169264669540507</v>
      </c>
      <c r="AA111" s="433">
        <f>C111*'4C2 Open-burning '!$C$10*'4C2 Open-burning '!$C$11*$C$5*C$15</f>
        <v>1.1835263700130123E-2</v>
      </c>
      <c r="AB111" s="433">
        <f>D111*'4C2 Open-burning '!$C$10*'4C2 Open-burning '!$C$11*$C$5*D$15</f>
        <v>1.2360811275940936E-2</v>
      </c>
      <c r="AC111" s="433">
        <f>E111*'4C2 Open-burning '!$C$10*'4C2 Open-burning '!$C$11*$C$5*E$15</f>
        <v>7.5962538111063521E-3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2.9698742575625603E-2</v>
      </c>
      <c r="AH111" s="434">
        <f t="shared" si="10"/>
        <v>6.1491071362803011E-2</v>
      </c>
    </row>
    <row r="112" spans="1:34">
      <c r="A112" s="435">
        <f>'Input data'!A141</f>
        <v>2041</v>
      </c>
      <c r="B112" s="107">
        <f>'Recycling - Case 1'!AP121</f>
        <v>5.6293584836045178E-2</v>
      </c>
      <c r="C112" s="473">
        <f>$B112*'Recycling - Case 1'!BM121*'Recycling - Case 1'!$AK121</f>
        <v>312.05961686342658</v>
      </c>
      <c r="D112" s="474">
        <f>$B112*'Recycling - Case 1'!BN121*'Recycling - Case 1'!$AK121</f>
        <v>325.91669510911214</v>
      </c>
      <c r="E112" s="474">
        <f>$B112*'Recycling - Case 1'!BO121*'Recycling - Case 1'!$AK121</f>
        <v>89.017743507016434</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348.02879351037723</v>
      </c>
      <c r="J112" s="663">
        <f t="shared" si="11"/>
        <v>1075.0228489899323</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0.47024869255990526</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11.990287994019514</v>
      </c>
      <c r="R112" s="104">
        <f t="shared" si="8"/>
        <v>12.46053668657942</v>
      </c>
      <c r="S112" s="431">
        <f>C112*'4C2 Open-burning '!$C$9*'4C2 Open-burning '!$C$11*$C$5</f>
        <v>1.2170325057673637</v>
      </c>
      <c r="T112" s="431">
        <f>D112*'4C2 Open-burning '!$C$9*'4C2 Open-burning '!$C$11*$C$5</f>
        <v>1.2710751109255372</v>
      </c>
      <c r="U112" s="431">
        <f>E112*'4C2 Open-burning '!$C$9*'4C2 Open-burning '!$C$11*$C$5</f>
        <v>0.34716919967736404</v>
      </c>
      <c r="V112" s="431">
        <f>F112*'4C2 Open-burning '!$C$9*'4C2 Open-burning '!$C$11*$C$5</f>
        <v>0</v>
      </c>
      <c r="W112" s="431">
        <f>G112*'4C2 Open-burning '!$C$9*'4C2 Open-burning '!$C$11*$C$5</f>
        <v>0</v>
      </c>
      <c r="X112" s="431">
        <f>H112*'4C2 Open-burning '!$C$9*'4C2 Open-burning '!$C$11*$C$5</f>
        <v>0</v>
      </c>
      <c r="Y112" s="431">
        <f>I112*'4C2 Open-burning '!$C$9*'4C2 Open-burning '!$C$11*$C$5</f>
        <v>1.3573122946904708</v>
      </c>
      <c r="Z112" s="432">
        <f t="shared" si="9"/>
        <v>4.1925891110607356</v>
      </c>
      <c r="AA112" s="433">
        <f>C112*'4C2 Open-burning '!$C$10*'4C2 Open-burning '!$C$11*$C$5*C$15</f>
        <v>1.1234146207083358E-2</v>
      </c>
      <c r="AB112" s="433">
        <f>D112*'4C2 Open-burning '!$C$10*'4C2 Open-burning '!$C$11*$C$5*D$15</f>
        <v>1.1733001023928036E-2</v>
      </c>
      <c r="AC112" s="433">
        <f>E112*'4C2 Open-burning '!$C$10*'4C2 Open-burning '!$C$11*$C$5*E$15</f>
        <v>7.21043722406833E-3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2.8190332274340556E-2</v>
      </c>
      <c r="AH112" s="434">
        <f t="shared" si="10"/>
        <v>5.836791672942028E-2</v>
      </c>
    </row>
    <row r="113" spans="1:34">
      <c r="A113" s="435">
        <f>'Input data'!A142</f>
        <v>2042</v>
      </c>
      <c r="B113" s="107">
        <f>'Recycling - Case 1'!AP122</f>
        <v>5.3778228960326746E-2</v>
      </c>
      <c r="C113" s="473">
        <f>$B113*'Recycling - Case 1'!BM122*'Recycling - Case 1'!$AK122</f>
        <v>295.42144505851621</v>
      </c>
      <c r="D113" s="474">
        <f>$B113*'Recycling - Case 1'!BN122*'Recycling - Case 1'!$AK122</f>
        <v>308.5397015018707</v>
      </c>
      <c r="E113" s="474">
        <f>$B113*'Recycling - Case 1'!BO122*'Recycling - Case 1'!$AK122</f>
        <v>84.271559027775126</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329.47284283119791</v>
      </c>
      <c r="J113" s="663">
        <f t="shared" si="11"/>
        <v>1017.7055484193598</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0.44517630858248597</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11.35099838122043</v>
      </c>
      <c r="R113" s="104">
        <f t="shared" si="8"/>
        <v>11.796174689802916</v>
      </c>
      <c r="S113" s="431">
        <f>C113*'4C2 Open-burning '!$C$9*'4C2 Open-burning '!$C$11*$C$5</f>
        <v>1.1521436357282131</v>
      </c>
      <c r="T113" s="431">
        <f>D113*'4C2 Open-burning '!$C$9*'4C2 Open-burning '!$C$11*$C$5</f>
        <v>1.2033048358572958</v>
      </c>
      <c r="U113" s="431">
        <f>E113*'4C2 Open-burning '!$C$9*'4C2 Open-burning '!$C$11*$C$5</f>
        <v>0.32865908020832296</v>
      </c>
      <c r="V113" s="431">
        <f>F113*'4C2 Open-burning '!$C$9*'4C2 Open-burning '!$C$11*$C$5</f>
        <v>0</v>
      </c>
      <c r="W113" s="431">
        <f>G113*'4C2 Open-burning '!$C$9*'4C2 Open-burning '!$C$11*$C$5</f>
        <v>0</v>
      </c>
      <c r="X113" s="431">
        <f>H113*'4C2 Open-burning '!$C$9*'4C2 Open-burning '!$C$11*$C$5</f>
        <v>0</v>
      </c>
      <c r="Y113" s="431">
        <f>I113*'4C2 Open-burning '!$C$9*'4C2 Open-burning '!$C$11*$C$5</f>
        <v>1.2849440870416717</v>
      </c>
      <c r="Z113" s="432">
        <f t="shared" si="9"/>
        <v>3.9690516388355039</v>
      </c>
      <c r="AA113" s="433">
        <f>C113*'4C2 Open-burning '!$C$10*'4C2 Open-burning '!$C$11*$C$5*C$15</f>
        <v>1.0635172022106584E-2</v>
      </c>
      <c r="AB113" s="433">
        <f>D113*'4C2 Open-burning '!$C$10*'4C2 Open-burning '!$C$11*$C$5*D$15</f>
        <v>1.1107429254067344E-2</v>
      </c>
      <c r="AC113" s="433">
        <f>E113*'4C2 Open-burning '!$C$10*'4C2 Open-burning '!$C$11*$C$5*E$15</f>
        <v>6.8259962812497847E-3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2.6687300269327027E-2</v>
      </c>
      <c r="AH113" s="434">
        <f t="shared" si="10"/>
        <v>5.5255897826750736E-2</v>
      </c>
    </row>
    <row r="114" spans="1:34">
      <c r="A114" s="435">
        <f>'Input data'!A143</f>
        <v>2043</v>
      </c>
      <c r="B114" s="107">
        <f>'Recycling - Case 1'!AP123</f>
        <v>5.1225918046900867E-2</v>
      </c>
      <c r="C114" s="473">
        <f>$B114*'Recycling - Case 1'!BM123*'Recycling - Case 1'!$AK123</f>
        <v>278.84197211508337</v>
      </c>
      <c r="D114" s="474">
        <f>$B114*'Recycling - Case 1'!BN123*'Recycling - Case 1'!$AK123</f>
        <v>291.22401329239801</v>
      </c>
      <c r="E114" s="474">
        <f>$B114*'Recycling - Case 1'!BO123*'Recycling - Case 1'!$AK123</f>
        <v>79.542118913753768</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310.98235686720921</v>
      </c>
      <c r="J114" s="663">
        <f t="shared" si="11"/>
        <v>960.59046118844424</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0.42019237905855222</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10.713964158789091</v>
      </c>
      <c r="R114" s="104">
        <f t="shared" si="8"/>
        <v>11.134156537847643</v>
      </c>
      <c r="S114" s="431">
        <f>C114*'4C2 Open-burning '!$C$9*'4C2 Open-burning '!$C$11*$C$5</f>
        <v>1.087483691248825</v>
      </c>
      <c r="T114" s="431">
        <f>D114*'4C2 Open-burning '!$C$9*'4C2 Open-burning '!$C$11*$C$5</f>
        <v>1.1357736518403521</v>
      </c>
      <c r="U114" s="431">
        <f>E114*'4C2 Open-burning '!$C$9*'4C2 Open-burning '!$C$11*$C$5</f>
        <v>0.3102142637636397</v>
      </c>
      <c r="V114" s="431">
        <f>F114*'4C2 Open-burning '!$C$9*'4C2 Open-burning '!$C$11*$C$5</f>
        <v>0</v>
      </c>
      <c r="W114" s="431">
        <f>G114*'4C2 Open-burning '!$C$9*'4C2 Open-burning '!$C$11*$C$5</f>
        <v>0</v>
      </c>
      <c r="X114" s="431">
        <f>H114*'4C2 Open-burning '!$C$9*'4C2 Open-burning '!$C$11*$C$5</f>
        <v>0</v>
      </c>
      <c r="Y114" s="431">
        <f>I114*'4C2 Open-burning '!$C$9*'4C2 Open-burning '!$C$11*$C$5</f>
        <v>1.2128311917821157</v>
      </c>
      <c r="Z114" s="432">
        <f t="shared" si="9"/>
        <v>3.7463027986349324</v>
      </c>
      <c r="AA114" s="433">
        <f>C114*'4C2 Open-burning '!$C$10*'4C2 Open-burning '!$C$11*$C$5*C$15</f>
        <v>1.0038310996143003E-2</v>
      </c>
      <c r="AB114" s="433">
        <f>D114*'4C2 Open-burning '!$C$10*'4C2 Open-burning '!$C$11*$C$5*D$15</f>
        <v>1.0484064478526327E-2</v>
      </c>
      <c r="AC114" s="433">
        <f>E114*'4C2 Open-burning '!$C$10*'4C2 Open-burning '!$C$11*$C$5*E$15</f>
        <v>6.4429116320140556E-3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2.5189570906243942E-2</v>
      </c>
      <c r="AH114" s="434">
        <f t="shared" si="10"/>
        <v>5.2154858012927324E-2</v>
      </c>
    </row>
    <row r="115" spans="1:34">
      <c r="A115" s="435">
        <f>'Input data'!A144</f>
        <v>2044</v>
      </c>
      <c r="B115" s="107">
        <f>'Recycling - Case 1'!AP124</f>
        <v>4.863569089555568E-2</v>
      </c>
      <c r="C115" s="473">
        <f>$B115*'Recycling - Case 1'!BM124*'Recycling - Case 1'!$AK124</f>
        <v>262.32037416040964</v>
      </c>
      <c r="D115" s="474">
        <f>$B115*'Recycling - Case 1'!BN124*'Recycling - Case 1'!$AK124</f>
        <v>273.96877002372048</v>
      </c>
      <c r="E115" s="474">
        <f>$B115*'Recycling - Case 1'!BO124*'Recycling - Case 1'!$AK124</f>
        <v>74.829188148031349</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292.55641678299412</v>
      </c>
      <c r="J115" s="663">
        <f t="shared" si="11"/>
        <v>903.67474911515558</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0.39529566247831632</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10.079153671007713</v>
      </c>
      <c r="R115" s="104">
        <f t="shared" si="8"/>
        <v>10.47444933348603</v>
      </c>
      <c r="S115" s="431">
        <f>C115*'4C2 Open-burning '!$C$9*'4C2 Open-burning '!$C$11*$C$5</f>
        <v>1.0230494592255976</v>
      </c>
      <c r="T115" s="431">
        <f>D115*'4C2 Open-burning '!$C$9*'4C2 Open-burning '!$C$11*$C$5</f>
        <v>1.0684782030925097</v>
      </c>
      <c r="U115" s="431">
        <f>E115*'4C2 Open-burning '!$C$9*'4C2 Open-burning '!$C$11*$C$5</f>
        <v>0.29183383377732225</v>
      </c>
      <c r="V115" s="431">
        <f>F115*'4C2 Open-burning '!$C$9*'4C2 Open-burning '!$C$11*$C$5</f>
        <v>0</v>
      </c>
      <c r="W115" s="431">
        <f>G115*'4C2 Open-burning '!$C$9*'4C2 Open-burning '!$C$11*$C$5</f>
        <v>0</v>
      </c>
      <c r="X115" s="431">
        <f>H115*'4C2 Open-burning '!$C$9*'4C2 Open-burning '!$C$11*$C$5</f>
        <v>0</v>
      </c>
      <c r="Y115" s="431">
        <f>I115*'4C2 Open-burning '!$C$9*'4C2 Open-burning '!$C$11*$C$5</f>
        <v>1.140970025453677</v>
      </c>
      <c r="Z115" s="432">
        <f t="shared" si="9"/>
        <v>3.5243315215491062</v>
      </c>
      <c r="AA115" s="433">
        <f>C115*'4C2 Open-burning '!$C$10*'4C2 Open-burning '!$C$11*$C$5*C$15</f>
        <v>9.4435334697747474E-3</v>
      </c>
      <c r="AB115" s="433">
        <f>D115*'4C2 Open-burning '!$C$10*'4C2 Open-burning '!$C$11*$C$5*D$15</f>
        <v>9.8628757208539374E-3</v>
      </c>
      <c r="AC115" s="433">
        <f>E115*'4C2 Open-burning '!$C$10*'4C2 Open-burning '!$C$11*$C$5*E$15</f>
        <v>6.0611642399905396E-3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2.3697069759422523E-2</v>
      </c>
      <c r="AH115" s="434">
        <f t="shared" si="10"/>
        <v>4.9064643190041744E-2</v>
      </c>
    </row>
    <row r="116" spans="1:34">
      <c r="A116" s="435">
        <f>'Input data'!A145</f>
        <v>2045</v>
      </c>
      <c r="B116" s="107">
        <f>'Recycling - Case 1'!AP125</f>
        <v>4.6006558773844769E-2</v>
      </c>
      <c r="C116" s="473">
        <f>$B116*'Recycling - Case 1'!BM125*'Recycling - Case 1'!$AK125</f>
        <v>245.85584065459548</v>
      </c>
      <c r="D116" s="474">
        <f>$B116*'Recycling - Case 1'!BN125*'Recycling - Case 1'!$AK125</f>
        <v>256.77312516372996</v>
      </c>
      <c r="E116" s="474">
        <f>$B116*'Recycling - Case 1'!BO125*'Recycling - Case 1'!$AK125</f>
        <v>70.132535516990401</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274.19411861274585</v>
      </c>
      <c r="J116" s="663">
        <f t="shared" si="11"/>
        <v>846.95561994806167</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0.37048493742347416</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9.4465357744463194</v>
      </c>
      <c r="R116" s="104">
        <f t="shared" si="8"/>
        <v>9.8170207118697927</v>
      </c>
      <c r="S116" s="431">
        <f>C116*'4C2 Open-burning '!$C$9*'4C2 Open-burning '!$C$11*$C$5</f>
        <v>0.95883777855292229</v>
      </c>
      <c r="T116" s="431">
        <f>D116*'4C2 Open-burning '!$C$9*'4C2 Open-burning '!$C$11*$C$5</f>
        <v>1.0014151881385467</v>
      </c>
      <c r="U116" s="431">
        <f>E116*'4C2 Open-burning '!$C$9*'4C2 Open-burning '!$C$11*$C$5</f>
        <v>0.27351688851626255</v>
      </c>
      <c r="V116" s="431">
        <f>F116*'4C2 Open-burning '!$C$9*'4C2 Open-burning '!$C$11*$C$5</f>
        <v>0</v>
      </c>
      <c r="W116" s="431">
        <f>G116*'4C2 Open-burning '!$C$9*'4C2 Open-burning '!$C$11*$C$5</f>
        <v>0</v>
      </c>
      <c r="X116" s="431">
        <f>H116*'4C2 Open-burning '!$C$9*'4C2 Open-burning '!$C$11*$C$5</f>
        <v>0</v>
      </c>
      <c r="Y116" s="431">
        <f>I116*'4C2 Open-burning '!$C$9*'4C2 Open-burning '!$C$11*$C$5</f>
        <v>1.0693570625897086</v>
      </c>
      <c r="Z116" s="432">
        <f t="shared" si="9"/>
        <v>3.3031269177974401</v>
      </c>
      <c r="AA116" s="433">
        <f>C116*'4C2 Open-burning '!$C$10*'4C2 Open-burning '!$C$11*$C$5*C$15</f>
        <v>8.8508102635654375E-3</v>
      </c>
      <c r="AB116" s="433">
        <f>D116*'4C2 Open-burning '!$C$10*'4C2 Open-burning '!$C$11*$C$5*D$15</f>
        <v>9.2438325058942766E-3</v>
      </c>
      <c r="AC116" s="433">
        <f>E116*'4C2 Open-burning '!$C$10*'4C2 Open-burning '!$C$11*$C$5*E$15</f>
        <v>5.6807353768762222E-3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2.2209723607632414E-2</v>
      </c>
      <c r="AH116" s="434">
        <f t="shared" si="10"/>
        <v>4.5985101753968347E-2</v>
      </c>
    </row>
    <row r="117" spans="1:34">
      <c r="A117" s="435">
        <f>'Input data'!A146</f>
        <v>2046</v>
      </c>
      <c r="B117" s="107">
        <f>'Recycling - Case 1'!AP126</f>
        <v>4.3371987398720752E-2</v>
      </c>
      <c r="C117" s="473">
        <f>$B117*'Recycling - Case 1'!BM126*'Recycling - Case 1'!$AK126</f>
        <v>229.51378542235705</v>
      </c>
      <c r="D117" s="474">
        <f>$B117*'Recycling - Case 1'!BN126*'Recycling - Case 1'!$AK126</f>
        <v>239.70539725290348</v>
      </c>
      <c r="E117" s="474">
        <f>$B117*'Recycling - Case 1'!BO126*'Recycling - Case 1'!$AK126</f>
        <v>65.470820888027163</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255.96841602705999</v>
      </c>
      <c r="J117" s="663">
        <f t="shared" si="11"/>
        <v>790.65841959034776</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0.34585877725592779</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8.81862386896427</v>
      </c>
      <c r="R117" s="104">
        <f t="shared" si="8"/>
        <v>9.1644826462201969</v>
      </c>
      <c r="S117" s="431">
        <f>C117*'4C2 Open-burning '!$C$9*'4C2 Open-burning '!$C$11*$C$5</f>
        <v>0.89510376314719242</v>
      </c>
      <c r="T117" s="431">
        <f>D117*'4C2 Open-burning '!$C$9*'4C2 Open-burning '!$C$11*$C$5</f>
        <v>0.93485104928632345</v>
      </c>
      <c r="U117" s="431">
        <f>E117*'4C2 Open-burning '!$C$9*'4C2 Open-burning '!$C$11*$C$5</f>
        <v>0.25533620146330593</v>
      </c>
      <c r="V117" s="431">
        <f>F117*'4C2 Open-burning '!$C$9*'4C2 Open-burning '!$C$11*$C$5</f>
        <v>0</v>
      </c>
      <c r="W117" s="431">
        <f>G117*'4C2 Open-burning '!$C$9*'4C2 Open-burning '!$C$11*$C$5</f>
        <v>0</v>
      </c>
      <c r="X117" s="431">
        <f>H117*'4C2 Open-burning '!$C$9*'4C2 Open-burning '!$C$11*$C$5</f>
        <v>0</v>
      </c>
      <c r="Y117" s="431">
        <f>I117*'4C2 Open-burning '!$C$9*'4C2 Open-burning '!$C$11*$C$5</f>
        <v>0.99827682250553385</v>
      </c>
      <c r="Z117" s="432">
        <f t="shared" si="9"/>
        <v>3.0835678364023558</v>
      </c>
      <c r="AA117" s="433">
        <f>C117*'4C2 Open-burning '!$C$10*'4C2 Open-burning '!$C$11*$C$5*C$15</f>
        <v>8.2624962752048513E-3</v>
      </c>
      <c r="AB117" s="433">
        <f>D117*'4C2 Open-burning '!$C$10*'4C2 Open-burning '!$C$11*$C$5*D$15</f>
        <v>8.629394301104527E-3</v>
      </c>
      <c r="AC117" s="433">
        <f>E117*'4C2 Open-burning '!$C$10*'4C2 Open-burning '!$C$11*$C$5*E$15</f>
        <v>5.3031364919302005E-3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2.073344169819186E-2</v>
      </c>
      <c r="AH117" s="434">
        <f t="shared" si="10"/>
        <v>4.2928468766431443E-2</v>
      </c>
    </row>
    <row r="118" spans="1:34">
      <c r="A118" s="435">
        <f>'Input data'!A147</f>
        <v>2047</v>
      </c>
      <c r="B118" s="107">
        <f>'Recycling - Case 1'!AP127</f>
        <v>4.0692713706057433E-2</v>
      </c>
      <c r="C118" s="473">
        <f>$B118*'Recycling - Case 1'!BM127*'Recycling - Case 1'!$AK127</f>
        <v>213.21692001177161</v>
      </c>
      <c r="D118" s="474">
        <f>$B118*'Recycling - Case 1'!BN127*'Recycling - Case 1'!$AK127</f>
        <v>222.68486582803615</v>
      </c>
      <c r="E118" s="474">
        <f>$B118*'Recycling - Case 1'!BO127*'Recycling - Case 1'!$AK127</f>
        <v>60.821997052154906</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237.79311201350251</v>
      </c>
      <c r="J118" s="663">
        <f t="shared" si="11"/>
        <v>734.51689490546516</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0.32130071450759556</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8.1924482950891875</v>
      </c>
      <c r="R118" s="104">
        <f t="shared" si="8"/>
        <v>8.5137490095967827</v>
      </c>
      <c r="S118" s="431">
        <f>C118*'4C2 Open-burning '!$C$9*'4C2 Open-burning '!$C$11*$C$5</f>
        <v>0.83154598804590918</v>
      </c>
      <c r="T118" s="431">
        <f>D118*'4C2 Open-burning '!$C$9*'4C2 Open-burning '!$C$11*$C$5</f>
        <v>0.86847097672934093</v>
      </c>
      <c r="U118" s="431">
        <f>E118*'4C2 Open-burning '!$C$9*'4C2 Open-burning '!$C$11*$C$5</f>
        <v>0.23720578850340412</v>
      </c>
      <c r="V118" s="431">
        <f>F118*'4C2 Open-burning '!$C$9*'4C2 Open-burning '!$C$11*$C$5</f>
        <v>0</v>
      </c>
      <c r="W118" s="431">
        <f>G118*'4C2 Open-burning '!$C$9*'4C2 Open-burning '!$C$11*$C$5</f>
        <v>0</v>
      </c>
      <c r="X118" s="431">
        <f>H118*'4C2 Open-burning '!$C$9*'4C2 Open-burning '!$C$11*$C$5</f>
        <v>0</v>
      </c>
      <c r="Y118" s="431">
        <f>I118*'4C2 Open-burning '!$C$9*'4C2 Open-burning '!$C$11*$C$5</f>
        <v>0.92739313685265967</v>
      </c>
      <c r="Z118" s="432">
        <f t="shared" si="9"/>
        <v>2.8646158901313141</v>
      </c>
      <c r="AA118" s="433">
        <f>C118*'4C2 Open-burning '!$C$10*'4C2 Open-burning '!$C$11*$C$5*C$15</f>
        <v>7.6758091204237773E-3</v>
      </c>
      <c r="AB118" s="433">
        <f>D118*'4C2 Open-burning '!$C$10*'4C2 Open-burning '!$C$11*$C$5*D$15</f>
        <v>8.0166551698093013E-3</v>
      </c>
      <c r="AC118" s="433">
        <f>E118*'4C2 Open-burning '!$C$10*'4C2 Open-burning '!$C$11*$C$5*E$15</f>
        <v>4.926581761224548E-3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1.9261242073093703E-2</v>
      </c>
      <c r="AH118" s="434">
        <f t="shared" si="10"/>
        <v>3.9880288124551327E-2</v>
      </c>
    </row>
    <row r="119" spans="1:34">
      <c r="A119" s="435">
        <f>'Input data'!A148</f>
        <v>2048</v>
      </c>
      <c r="B119" s="107">
        <f>'Recycling - Case 1'!AP128</f>
        <v>4.0541889772564364E-2</v>
      </c>
      <c r="C119" s="473">
        <f>$B119*'Recycling - Case 1'!BM128*'Recycling - Case 1'!$AK128</f>
        <v>212.93483836537837</v>
      </c>
      <c r="D119" s="474">
        <f>$B119*'Recycling - Case 1'!BN128*'Recycling - Case 1'!$AK128</f>
        <v>222.39025828199263</v>
      </c>
      <c r="E119" s="474">
        <f>$B119*'Recycling - Case 1'!BO128*'Recycling - Case 1'!$AK128</f>
        <v>60.741530787730646</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237.47851656519555</v>
      </c>
      <c r="J119" s="663">
        <f t="shared" si="11"/>
        <v>733.54514400029711</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0.32087564020049741</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8.181609852704117</v>
      </c>
      <c r="R119" s="104">
        <f t="shared" si="8"/>
        <v>8.502485492904615</v>
      </c>
      <c r="S119" s="431">
        <f>C119*'4C2 Open-burning '!$C$9*'4C2 Open-burning '!$C$11*$C$5</f>
        <v>0.83044586962497557</v>
      </c>
      <c r="T119" s="431">
        <f>D119*'4C2 Open-burning '!$C$9*'4C2 Open-burning '!$C$11*$C$5</f>
        <v>0.86732200729977116</v>
      </c>
      <c r="U119" s="431">
        <f>E119*'4C2 Open-burning '!$C$9*'4C2 Open-burning '!$C$11*$C$5</f>
        <v>0.23689197007214949</v>
      </c>
      <c r="V119" s="431">
        <f>F119*'4C2 Open-burning '!$C$9*'4C2 Open-burning '!$C$11*$C$5</f>
        <v>0</v>
      </c>
      <c r="W119" s="431">
        <f>G119*'4C2 Open-burning '!$C$9*'4C2 Open-burning '!$C$11*$C$5</f>
        <v>0</v>
      </c>
      <c r="X119" s="431">
        <f>H119*'4C2 Open-burning '!$C$9*'4C2 Open-burning '!$C$11*$C$5</f>
        <v>0</v>
      </c>
      <c r="Y119" s="431">
        <f>I119*'4C2 Open-burning '!$C$9*'4C2 Open-burning '!$C$11*$C$5</f>
        <v>0.92616621460426252</v>
      </c>
      <c r="Z119" s="432">
        <f t="shared" si="9"/>
        <v>2.8608260616011587</v>
      </c>
      <c r="AA119" s="433">
        <f>C119*'4C2 Open-burning '!$C$10*'4C2 Open-burning '!$C$11*$C$5*C$15</f>
        <v>7.6656541811536208E-3</v>
      </c>
      <c r="AB119" s="433">
        <f>D119*'4C2 Open-burning '!$C$10*'4C2 Open-burning '!$C$11*$C$5*D$15</f>
        <v>8.0060492981517337E-3</v>
      </c>
      <c r="AC119" s="433">
        <f>E119*'4C2 Open-burning '!$C$10*'4C2 Open-burning '!$C$11*$C$5*E$15</f>
        <v>4.920063993806182E-3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1.9235759841780841E-2</v>
      </c>
      <c r="AH119" s="434">
        <f t="shared" si="10"/>
        <v>3.9827527314892378E-2</v>
      </c>
    </row>
    <row r="120" spans="1:34">
      <c r="A120" s="435">
        <f>'Input data'!A149</f>
        <v>2049</v>
      </c>
      <c r="B120" s="107">
        <f>'Recycling - Case 1'!AP129</f>
        <v>4.0391678023508841E-2</v>
      </c>
      <c r="C120" s="473">
        <f>$B120*'Recycling - Case 1'!BM129*'Recycling - Case 1'!$AK129</f>
        <v>212.65492911344788</v>
      </c>
      <c r="D120" s="474">
        <f>$B120*'Recycling - Case 1'!BN129*'Recycling - Case 1'!$AK129</f>
        <v>222.09791959608194</v>
      </c>
      <c r="E120" s="474">
        <f>$B120*'Recycling - Case 1'!BO129*'Recycling - Case 1'!$AK129</f>
        <v>60.661684217885963</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237.16634390978786</v>
      </c>
      <c r="J120" s="663">
        <f t="shared" si="11"/>
        <v>732.58087683720362</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0.32045383951677309</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8.170854880380011</v>
      </c>
      <c r="R120" s="104">
        <f t="shared" si="8"/>
        <v>8.491308719896784</v>
      </c>
      <c r="S120" s="431">
        <f>C120*'4C2 Open-burning '!$C$9*'4C2 Open-burning '!$C$11*$C$5</f>
        <v>0.8293542235424467</v>
      </c>
      <c r="T120" s="431">
        <f>D120*'4C2 Open-burning '!$C$9*'4C2 Open-burning '!$C$11*$C$5</f>
        <v>0.86618188642471949</v>
      </c>
      <c r="U120" s="431">
        <f>E120*'4C2 Open-burning '!$C$9*'4C2 Open-burning '!$C$11*$C$5</f>
        <v>0.23658056844975522</v>
      </c>
      <c r="V120" s="431">
        <f>F120*'4C2 Open-burning '!$C$9*'4C2 Open-burning '!$C$11*$C$5</f>
        <v>0</v>
      </c>
      <c r="W120" s="431">
        <f>G120*'4C2 Open-burning '!$C$9*'4C2 Open-burning '!$C$11*$C$5</f>
        <v>0</v>
      </c>
      <c r="X120" s="431">
        <f>H120*'4C2 Open-burning '!$C$9*'4C2 Open-burning '!$C$11*$C$5</f>
        <v>0</v>
      </c>
      <c r="Y120" s="431">
        <f>I120*'4C2 Open-burning '!$C$9*'4C2 Open-burning '!$C$11*$C$5</f>
        <v>0.9249487412481725</v>
      </c>
      <c r="Z120" s="432">
        <f t="shared" si="9"/>
        <v>2.8570654196650942</v>
      </c>
      <c r="AA120" s="433">
        <f>C120*'4C2 Open-burning '!$C$10*'4C2 Open-burning '!$C$11*$C$5*C$15</f>
        <v>7.6555774480841238E-3</v>
      </c>
      <c r="AB120" s="433">
        <f>D120*'4C2 Open-burning '!$C$10*'4C2 Open-burning '!$C$11*$C$5*D$15</f>
        <v>7.9955251054589487E-3</v>
      </c>
      <c r="AC120" s="433">
        <f>E120*'4C2 Open-burning '!$C$10*'4C2 Open-burning '!$C$11*$C$5*E$15</f>
        <v>4.913596421648762E-3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1.921047385669282E-2</v>
      </c>
      <c r="AH120" s="434">
        <f t="shared" si="10"/>
        <v>3.9775172831884656E-2</v>
      </c>
    </row>
    <row r="121" spans="1:34" ht="15" thickBot="1">
      <c r="A121" s="435">
        <f>'Input data'!A150</f>
        <v>2050</v>
      </c>
      <c r="B121" s="560">
        <f>'Recycling - Case 1'!AP130</f>
        <v>4.0242073404737747E-2</v>
      </c>
      <c r="C121" s="598">
        <f>$B121*'Recycling - Case 1'!BM130*'Recycling - Case 1'!$AK130</f>
        <v>212.37717084377385</v>
      </c>
      <c r="D121" s="595">
        <f>$B121*'Recycling - Case 1'!BN130*'Recycling - Case 1'!$AK130</f>
        <v>221.80782740728392</v>
      </c>
      <c r="E121" s="595">
        <f>$B121*'Recycling - Case 1'!BO130*'Recycling - Case 1'!$AK130</f>
        <v>60.58245123460118</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236.85657016702095</v>
      </c>
      <c r="J121" s="814">
        <f t="shared" si="11"/>
        <v>731.62401965267986</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0.32003528018995359</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8.1601825553942042</v>
      </c>
      <c r="R121" s="1178">
        <f t="shared" si="8"/>
        <v>8.480217835584158</v>
      </c>
      <c r="S121" s="431">
        <f>C121*'4C2 Open-burning '!$C$9*'4C2 Open-burning '!$C$11*$C$5</f>
        <v>0.82827096629071795</v>
      </c>
      <c r="T121" s="431">
        <f>D121*'4C2 Open-burning '!$C$9*'4C2 Open-burning '!$C$11*$C$5</f>
        <v>0.86505052688840722</v>
      </c>
      <c r="U121" s="431">
        <f>E121*'4C2 Open-burning '!$C$9*'4C2 Open-burning '!$C$11*$C$5</f>
        <v>0.23627155981494458</v>
      </c>
      <c r="V121" s="431">
        <f>F121*'4C2 Open-burning '!$C$9*'4C2 Open-burning '!$C$11*$C$5</f>
        <v>0</v>
      </c>
      <c r="W121" s="431">
        <f>G121*'4C2 Open-burning '!$C$9*'4C2 Open-burning '!$C$11*$C$5</f>
        <v>0</v>
      </c>
      <c r="X121" s="431">
        <f>H121*'4C2 Open-burning '!$C$9*'4C2 Open-burning '!$C$11*$C$5</f>
        <v>0</v>
      </c>
      <c r="Y121" s="431">
        <f>I121*'4C2 Open-burning '!$C$9*'4C2 Open-burning '!$C$11*$C$5</f>
        <v>0.92374062365138143</v>
      </c>
      <c r="Z121" s="432">
        <f t="shared" si="9"/>
        <v>2.8533336766454509</v>
      </c>
      <c r="AA121" s="433">
        <f>C121*'4C2 Open-burning '!$C$10*'4C2 Open-burning '!$C$11*$C$5*C$15</f>
        <v>7.6455781503758577E-3</v>
      </c>
      <c r="AB121" s="433">
        <f>D121*'4C2 Open-burning '!$C$10*'4C2 Open-burning '!$C$11*$C$5*D$15</f>
        <v>7.9850817866622213E-3</v>
      </c>
      <c r="AC121" s="433">
        <f>E121*'4C2 Open-burning '!$C$10*'4C2 Open-burning '!$C$11*$C$5*E$15</f>
        <v>4.9071785500026952E-3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1.9185382183528693E-2</v>
      </c>
      <c r="AH121" s="439">
        <f t="shared" si="10"/>
        <v>3.9723220670569465E-2</v>
      </c>
    </row>
    <row r="122" spans="1:34" ht="21.6"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0.11516499941226198</v>
      </c>
      <c r="C125" s="473">
        <f>'Recycling - Case 2'!$AK100*'Recycling - Case 2'!BM100*'4C2 Open-burning '!$B125</f>
        <v>788.11293543078432</v>
      </c>
      <c r="D125" s="474">
        <f>'Recycling - Case 2'!$AK100*'Recycling - Case 2'!BN100*'4C2 Open-burning '!$B125</f>
        <v>823.10926953665137</v>
      </c>
      <c r="E125" s="474">
        <f>'Recycling - Case 2'!$AK100*'Recycling - Case 2'!BO100*'4C2 Open-burning '!$B125</f>
        <v>224.81612919317038</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878.95382563370708</v>
      </c>
      <c r="J125" s="663">
        <f t="shared" si="12"/>
        <v>2714.992159794313</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1.1876226767210096</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30.281717200732473</v>
      </c>
      <c r="R125" s="1181">
        <f t="shared" si="8"/>
        <v>31.469339877453482</v>
      </c>
      <c r="S125" s="431">
        <f>C125*'4C2 Open-burning '!$C$9*'4C2 Open-burning '!$C$11*$C$5</f>
        <v>3.073640448180059</v>
      </c>
      <c r="T125" s="431">
        <f>D125*'4C2 Open-burning '!$C$9*'4C2 Open-burning '!$C$11*$C$5</f>
        <v>3.2101261511929402</v>
      </c>
      <c r="U125" s="431">
        <f>E125*'4C2 Open-burning '!$C$9*'4C2 Open-burning '!$C$11*$C$5</f>
        <v>0.87678290385336444</v>
      </c>
      <c r="V125" s="431">
        <f>F125*'4C2 Open-burning '!$C$9*'4C2 Open-burning '!$C$11*$C$5</f>
        <v>0</v>
      </c>
      <c r="W125" s="431">
        <f>G125*'4C2 Open-burning '!$C$9*'4C2 Open-burning '!$C$11*$C$5</f>
        <v>0</v>
      </c>
      <c r="X125" s="431">
        <f>H125*'4C2 Open-burning '!$C$9*'4C2 Open-burning '!$C$11*$C$5</f>
        <v>0</v>
      </c>
      <c r="Y125" s="431">
        <f>I125*'4C2 Open-burning '!$C$9*'4C2 Open-burning '!$C$11*$C$5</f>
        <v>3.4279199199714574</v>
      </c>
      <c r="Z125" s="432">
        <f t="shared" si="9"/>
        <v>10.588469423197822</v>
      </c>
      <c r="AA125" s="433">
        <f>C125*'4C2 Open-burning '!$C$10*'4C2 Open-burning '!$C$11*$C$5*C$15</f>
        <v>2.8372065675508235E-2</v>
      </c>
      <c r="AB125" s="433">
        <f>D125*'4C2 Open-burning '!$C$10*'4C2 Open-burning '!$C$11*$C$5*D$15</f>
        <v>2.9631933703319447E-2</v>
      </c>
      <c r="AC125" s="433">
        <f>E125*'4C2 Open-burning '!$C$10*'4C2 Open-burning '!$C$11*$C$5*E$15</f>
        <v>1.82101064646468E-2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7.1195259876330269E-2</v>
      </c>
      <c r="AH125" s="434">
        <f t="shared" si="10"/>
        <v>0.14740936571980473</v>
      </c>
    </row>
    <row r="126" spans="1:34">
      <c r="A126" s="138">
        <f>'Input data'!A121</f>
        <v>2021</v>
      </c>
      <c r="B126" s="100">
        <f>'Recycling - Case 2'!AP101</f>
        <v>0.108632640688443</v>
      </c>
      <c r="C126" s="473">
        <f>'Recycling - Case 2'!$AK101*'Recycling - Case 2'!BM101*'4C2 Open-burning '!$B126</f>
        <v>724.54347859846757</v>
      </c>
      <c r="D126" s="474">
        <f>'Recycling - Case 2'!$AK101*'Recycling - Case 2'!BN101*'4C2 Open-burning '!$B126</f>
        <v>756.71699651871234</v>
      </c>
      <c r="E126" s="474">
        <f>'Recycling - Case 2'!$AK101*'Recycling - Case 2'!BO101*'4C2 Open-burning '!$B126</f>
        <v>206.68238391700373</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808.05711176911302</v>
      </c>
      <c r="J126" s="663">
        <f t="shared" si="12"/>
        <v>2495.9999708032965</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1.0918286285753205</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27.83918361466948</v>
      </c>
      <c r="R126" s="1181">
        <f t="shared" si="8"/>
        <v>28.931012243244801</v>
      </c>
      <c r="S126" s="431">
        <f>C126*'4C2 Open-burning '!$C$9*'4C2 Open-burning '!$C$11*$C$5</f>
        <v>2.8257195665340236</v>
      </c>
      <c r="T126" s="431">
        <f>D126*'4C2 Open-burning '!$C$9*'4C2 Open-burning '!$C$11*$C$5</f>
        <v>2.9511962864229782</v>
      </c>
      <c r="U126" s="431">
        <f>E126*'4C2 Open-burning '!$C$9*'4C2 Open-burning '!$C$11*$C$5</f>
        <v>0.80606129727631448</v>
      </c>
      <c r="V126" s="431">
        <f>F126*'4C2 Open-burning '!$C$9*'4C2 Open-burning '!$C$11*$C$5</f>
        <v>0</v>
      </c>
      <c r="W126" s="431">
        <f>G126*'4C2 Open-burning '!$C$9*'4C2 Open-burning '!$C$11*$C$5</f>
        <v>0</v>
      </c>
      <c r="X126" s="431">
        <f>H126*'4C2 Open-burning '!$C$9*'4C2 Open-burning '!$C$11*$C$5</f>
        <v>0</v>
      </c>
      <c r="Y126" s="431">
        <f>I126*'4C2 Open-burning '!$C$9*'4C2 Open-burning '!$C$11*$C$5</f>
        <v>3.1514227358995401</v>
      </c>
      <c r="Z126" s="432">
        <f t="shared" si="9"/>
        <v>9.7343998861328558</v>
      </c>
      <c r="AA126" s="433">
        <f>C126*'4C2 Open-burning '!$C$10*'4C2 Open-burning '!$C$11*$C$5*C$15</f>
        <v>2.6083565229544831E-2</v>
      </c>
      <c r="AB126" s="433">
        <f>D126*'4C2 Open-burning '!$C$10*'4C2 Open-burning '!$C$11*$C$5*D$15</f>
        <v>2.7241811874673644E-2</v>
      </c>
      <c r="AC126" s="433">
        <f>E126*'4C2 Open-burning '!$C$10*'4C2 Open-burning '!$C$11*$C$5*E$15</f>
        <v>1.6741273097277302E-2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6.5452626053298144E-2</v>
      </c>
      <c r="AH126" s="434">
        <f t="shared" si="10"/>
        <v>0.13551927625479393</v>
      </c>
    </row>
    <row r="127" spans="1:34">
      <c r="A127" s="138">
        <f>'Input data'!A122</f>
        <v>2022</v>
      </c>
      <c r="B127" s="100">
        <f>'Recycling - Case 2'!AP102</f>
        <v>9.5787234273176591E-2</v>
      </c>
      <c r="C127" s="473">
        <f>'Recycling - Case 2'!$AK102*'Recycling - Case 2'!BM102*'4C2 Open-burning '!$B127</f>
        <v>603.00531989916851</v>
      </c>
      <c r="D127" s="474">
        <f>'Recycling - Case 2'!$AK102*'Recycling - Case 2'!BN102*'4C2 Open-burning '!$B127</f>
        <v>629.78190824595356</v>
      </c>
      <c r="E127" s="474">
        <f>'Recycling - Case 2'!$AK102*'Recycling - Case 2'!BO102*'4C2 Open-burning '!$B127</f>
        <v>172.01255785570908</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672.51000329431815</v>
      </c>
      <c r="J127" s="663">
        <f t="shared" si="12"/>
        <v>2077.3097892951491</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0.908680418630883</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23.169314633495848</v>
      </c>
      <c r="R127" s="1181">
        <f t="shared" si="8"/>
        <v>24.077995052126731</v>
      </c>
      <c r="S127" s="431">
        <f>C127*'4C2 Open-burning '!$C$9*'4C2 Open-burning '!$C$11*$C$5</f>
        <v>2.3517207476067568</v>
      </c>
      <c r="T127" s="431">
        <f>D127*'4C2 Open-burning '!$C$9*'4C2 Open-burning '!$C$11*$C$5</f>
        <v>2.4561494421592189</v>
      </c>
      <c r="U127" s="431">
        <f>E127*'4C2 Open-burning '!$C$9*'4C2 Open-burning '!$C$11*$C$5</f>
        <v>0.67084897563726531</v>
      </c>
      <c r="V127" s="431">
        <f>F127*'4C2 Open-burning '!$C$9*'4C2 Open-burning '!$C$11*$C$5</f>
        <v>0</v>
      </c>
      <c r="W127" s="431">
        <f>G127*'4C2 Open-burning '!$C$9*'4C2 Open-burning '!$C$11*$C$5</f>
        <v>0</v>
      </c>
      <c r="X127" s="431">
        <f>H127*'4C2 Open-burning '!$C$9*'4C2 Open-burning '!$C$11*$C$5</f>
        <v>0</v>
      </c>
      <c r="Y127" s="431">
        <f>I127*'4C2 Open-burning '!$C$9*'4C2 Open-burning '!$C$11*$C$5</f>
        <v>2.6227890128478406</v>
      </c>
      <c r="Z127" s="432">
        <f t="shared" si="9"/>
        <v>8.1015081782510823</v>
      </c>
      <c r="AA127" s="433">
        <f>C127*'4C2 Open-burning '!$C$10*'4C2 Open-burning '!$C$11*$C$5*C$15</f>
        <v>2.1708191516370063E-2</v>
      </c>
      <c r="AB127" s="433">
        <f>D127*'4C2 Open-burning '!$C$10*'4C2 Open-burning '!$C$11*$C$5*D$15</f>
        <v>2.2672148696854327E-2</v>
      </c>
      <c r="AC127" s="433">
        <f>E127*'4C2 Open-burning '!$C$10*'4C2 Open-burning '!$C$11*$C$5*E$15</f>
        <v>1.3933017186312433E-2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5.4473310266839763E-2</v>
      </c>
      <c r="AH127" s="434">
        <f t="shared" si="10"/>
        <v>0.11278666766637657</v>
      </c>
    </row>
    <row r="128" spans="1:34">
      <c r="A128" s="138">
        <f>'Input data'!A123</f>
        <v>2023</v>
      </c>
      <c r="B128" s="100">
        <f>'Recycling - Case 2'!AP103</f>
        <v>9.1876256960619254E-2</v>
      </c>
      <c r="C128" s="473">
        <f>'Recycling - Case 2'!$AK103*'Recycling - Case 2'!BM103*'4C2 Open-burning '!$B128</f>
        <v>571.86877898847069</v>
      </c>
      <c r="D128" s="474">
        <f>'Recycling - Case 2'!$AK103*'Recycling - Case 2'!BN103*'4C2 Open-burning '!$B128</f>
        <v>597.26274215601518</v>
      </c>
      <c r="E128" s="474">
        <f>'Recycling - Case 2'!$AK103*'Recycling - Case 2'!BO103*'4C2 Open-burning '!$B128</f>
        <v>163.1305863903103</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637.78454642118731</v>
      </c>
      <c r="J128" s="663">
        <f t="shared" si="12"/>
        <v>1970.0466539559834</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0.86176016088890883</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21.972953193302743</v>
      </c>
      <c r="R128" s="1181">
        <f t="shared" si="8"/>
        <v>22.834713354191653</v>
      </c>
      <c r="S128" s="431">
        <f>C128*'4C2 Open-burning '!$C$9*'4C2 Open-burning '!$C$11*$C$5</f>
        <v>2.2302882380550355</v>
      </c>
      <c r="T128" s="431">
        <f>D128*'4C2 Open-burning '!$C$9*'4C2 Open-burning '!$C$11*$C$5</f>
        <v>2.3293246944084589</v>
      </c>
      <c r="U128" s="431">
        <f>E128*'4C2 Open-burning '!$C$9*'4C2 Open-burning '!$C$11*$C$5</f>
        <v>0.63620928692221002</v>
      </c>
      <c r="V128" s="431">
        <f>F128*'4C2 Open-burning '!$C$9*'4C2 Open-burning '!$C$11*$C$5</f>
        <v>0</v>
      </c>
      <c r="W128" s="431">
        <f>G128*'4C2 Open-burning '!$C$9*'4C2 Open-burning '!$C$11*$C$5</f>
        <v>0</v>
      </c>
      <c r="X128" s="431">
        <f>H128*'4C2 Open-burning '!$C$9*'4C2 Open-burning '!$C$11*$C$5</f>
        <v>0</v>
      </c>
      <c r="Y128" s="431">
        <f>I128*'4C2 Open-burning '!$C$9*'4C2 Open-burning '!$C$11*$C$5</f>
        <v>2.4873597310426305</v>
      </c>
      <c r="Z128" s="432">
        <f t="shared" si="9"/>
        <v>7.6831819504283345</v>
      </c>
      <c r="AA128" s="433">
        <f>C128*'4C2 Open-burning '!$C$10*'4C2 Open-burning '!$C$11*$C$5*C$15</f>
        <v>2.0587276043584943E-2</v>
      </c>
      <c r="AB128" s="433">
        <f>D128*'4C2 Open-burning '!$C$10*'4C2 Open-burning '!$C$11*$C$5*D$15</f>
        <v>2.1501458717616547E-2</v>
      </c>
      <c r="AC128" s="433">
        <f>E128*'4C2 Open-burning '!$C$10*'4C2 Open-burning '!$C$11*$C$5*E$15</f>
        <v>1.3213577497615132E-2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5.1660548260116172E-2</v>
      </c>
      <c r="AH128" s="434">
        <f t="shared" si="10"/>
        <v>0.10696286051893281</v>
      </c>
    </row>
    <row r="129" spans="1:34">
      <c r="A129" s="138">
        <f>'Input data'!A124</f>
        <v>2024</v>
      </c>
      <c r="B129" s="100">
        <f>'Recycling - Case 2'!AP104</f>
        <v>8.7781424771145714E-2</v>
      </c>
      <c r="C129" s="473">
        <f>'Recycling - Case 2'!$AK104*'Recycling - Case 2'!BM104*'4C2 Open-burning '!$B129</f>
        <v>540.19890619267005</v>
      </c>
      <c r="D129" s="474">
        <f>'Recycling - Case 2'!$AK104*'Recycling - Case 2'!BN104*'4C2 Open-burning '!$B129</f>
        <v>564.18656145734235</v>
      </c>
      <c r="E129" s="474">
        <f>'Recycling - Case 2'!$AK104*'Recycling - Case 2'!BO104*'4C2 Open-burning '!$B129</f>
        <v>154.09647732559836</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602.4642838042738</v>
      </c>
      <c r="J129" s="663">
        <f t="shared" si="12"/>
        <v>1860.9462287798842</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0.8140362149792989</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20.756099505624839</v>
      </c>
      <c r="R129" s="1181">
        <f t="shared" si="8"/>
        <v>21.570135720604139</v>
      </c>
      <c r="S129" s="431">
        <f>C129*'4C2 Open-burning '!$C$9*'4C2 Open-burning '!$C$11*$C$5</f>
        <v>2.1067757341514133</v>
      </c>
      <c r="T129" s="431">
        <f>D129*'4C2 Open-burning '!$C$9*'4C2 Open-burning '!$C$11*$C$5</f>
        <v>2.200327589683635</v>
      </c>
      <c r="U129" s="431">
        <f>E129*'4C2 Open-burning '!$C$9*'4C2 Open-burning '!$C$11*$C$5</f>
        <v>0.60097626156983353</v>
      </c>
      <c r="V129" s="431">
        <f>F129*'4C2 Open-burning '!$C$9*'4C2 Open-burning '!$C$11*$C$5</f>
        <v>0</v>
      </c>
      <c r="W129" s="431">
        <f>G129*'4C2 Open-burning '!$C$9*'4C2 Open-burning '!$C$11*$C$5</f>
        <v>0</v>
      </c>
      <c r="X129" s="431">
        <f>H129*'4C2 Open-burning '!$C$9*'4C2 Open-burning '!$C$11*$C$5</f>
        <v>0</v>
      </c>
      <c r="Y129" s="431">
        <f>I129*'4C2 Open-burning '!$C$9*'4C2 Open-burning '!$C$11*$C$5</f>
        <v>2.3496107068366676</v>
      </c>
      <c r="Z129" s="432">
        <f t="shared" si="9"/>
        <v>7.2576902922415494</v>
      </c>
      <c r="AA129" s="433">
        <f>C129*'4C2 Open-burning '!$C$10*'4C2 Open-burning '!$C$11*$C$5*C$15</f>
        <v>1.9447160622936121E-2</v>
      </c>
      <c r="AB129" s="433">
        <f>D129*'4C2 Open-burning '!$C$10*'4C2 Open-burning '!$C$11*$C$5*D$15</f>
        <v>2.0310716212464323E-2</v>
      </c>
      <c r="AC129" s="433">
        <f>E129*'4C2 Open-burning '!$C$10*'4C2 Open-burning '!$C$11*$C$5*E$15</f>
        <v>1.2481814663373466E-2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4.8799606988146178E-2</v>
      </c>
      <c r="AH129" s="434">
        <f t="shared" si="10"/>
        <v>0.10103929848692009</v>
      </c>
    </row>
    <row r="130" spans="1:34">
      <c r="A130" s="138">
        <f>'Input data'!A125</f>
        <v>2025</v>
      </c>
      <c r="B130" s="100">
        <f>'Recycling - Case 2'!AP105</f>
        <v>8.3494201429216791E-2</v>
      </c>
      <c r="C130" s="473">
        <f>'Recycling - Case 2'!$AK105*'Recycling - Case 2'!BM105*'4C2 Open-burning '!$B130</f>
        <v>507.97627512742508</v>
      </c>
      <c r="D130" s="474">
        <f>'Recycling - Case 2'!$AK105*'Recycling - Case 2'!BN105*'4C2 Open-burning '!$B130</f>
        <v>530.53307713257948</v>
      </c>
      <c r="E130" s="474">
        <f>'Recycling - Case 2'!$AK105*'Recycling - Case 2'!BO105*'4C2 Open-burning '!$B130</f>
        <v>144.90468911500608</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566.52754990039546</v>
      </c>
      <c r="J130" s="663">
        <f t="shared" si="12"/>
        <v>1749.9415912754062</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0.76547930690649568</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19.518007149168422</v>
      </c>
      <c r="R130" s="1181">
        <f t="shared" si="8"/>
        <v>20.283486456074918</v>
      </c>
      <c r="S130" s="431">
        <f>C130*'4C2 Open-burning '!$C$9*'4C2 Open-burning '!$C$11*$C$5</f>
        <v>1.9811074729969576</v>
      </c>
      <c r="T130" s="431">
        <f>D130*'4C2 Open-burning '!$C$9*'4C2 Open-burning '!$C$11*$C$5</f>
        <v>2.0690790008170601</v>
      </c>
      <c r="U130" s="431">
        <f>E130*'4C2 Open-burning '!$C$9*'4C2 Open-burning '!$C$11*$C$5</f>
        <v>0.56512828754852362</v>
      </c>
      <c r="V130" s="431">
        <f>F130*'4C2 Open-burning '!$C$9*'4C2 Open-burning '!$C$11*$C$5</f>
        <v>0</v>
      </c>
      <c r="W130" s="431">
        <f>G130*'4C2 Open-burning '!$C$9*'4C2 Open-burning '!$C$11*$C$5</f>
        <v>0</v>
      </c>
      <c r="X130" s="431">
        <f>H130*'4C2 Open-burning '!$C$9*'4C2 Open-burning '!$C$11*$C$5</f>
        <v>0</v>
      </c>
      <c r="Y130" s="431">
        <f>I130*'4C2 Open-burning '!$C$9*'4C2 Open-burning '!$C$11*$C$5</f>
        <v>2.2094574446115423</v>
      </c>
      <c r="Z130" s="432">
        <f t="shared" si="9"/>
        <v>6.8247722059740834</v>
      </c>
      <c r="AA130" s="433">
        <f>C130*'4C2 Open-burning '!$C$10*'4C2 Open-burning '!$C$11*$C$5*C$15</f>
        <v>1.8287145904587302E-2</v>
      </c>
      <c r="AB130" s="433">
        <f>D130*'4C2 Open-burning '!$C$10*'4C2 Open-burning '!$C$11*$C$5*D$15</f>
        <v>1.9099190776772856E-2</v>
      </c>
      <c r="AC130" s="433">
        <f>E130*'4C2 Open-burning '!$C$10*'4C2 Open-burning '!$C$11*$C$5*E$15</f>
        <v>1.1737279818315492E-2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4.5888731541932036E-2</v>
      </c>
      <c r="AH130" s="434">
        <f t="shared" si="10"/>
        <v>9.5012348041607686E-2</v>
      </c>
    </row>
    <row r="131" spans="1:34">
      <c r="A131" s="138">
        <f>'Input data'!A126</f>
        <v>2026</v>
      </c>
      <c r="B131" s="100">
        <f>'Recycling - Case 2'!AP106</f>
        <v>7.9101611218796483E-2</v>
      </c>
      <c r="C131" s="473">
        <f>'Recycling - Case 2'!$AK106*'Recycling - Case 2'!BM106*'4C2 Open-burning '!$B131</f>
        <v>475.46190657561885</v>
      </c>
      <c r="D131" s="474">
        <f>'Recycling - Case 2'!$AK106*'Recycling - Case 2'!BN106*'4C2 Open-burning '!$B131</f>
        <v>496.57490065182662</v>
      </c>
      <c r="E131" s="474">
        <f>'Recycling - Case 2'!$AK106*'Recycling - Case 2'!BO106*'4C2 Open-burning '!$B131</f>
        <v>135.62968022686786</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530.26545173923125</v>
      </c>
      <c r="J131" s="663">
        <f t="shared" si="12"/>
        <v>1637.9319391935446</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0.71648277395366122</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18.268705343319994</v>
      </c>
      <c r="R131" s="1181">
        <f t="shared" si="8"/>
        <v>18.985188117273655</v>
      </c>
      <c r="S131" s="431">
        <f>C131*'4C2 Open-burning '!$C$9*'4C2 Open-burning '!$C$11*$C$5</f>
        <v>1.8543014356449135</v>
      </c>
      <c r="T131" s="431">
        <f>D131*'4C2 Open-burning '!$C$9*'4C2 Open-burning '!$C$11*$C$5</f>
        <v>1.9366421125421234</v>
      </c>
      <c r="U131" s="431">
        <f>E131*'4C2 Open-burning '!$C$9*'4C2 Open-burning '!$C$11*$C$5</f>
        <v>0.52895575288478458</v>
      </c>
      <c r="V131" s="431">
        <f>F131*'4C2 Open-burning '!$C$9*'4C2 Open-burning '!$C$11*$C$5</f>
        <v>0</v>
      </c>
      <c r="W131" s="431">
        <f>G131*'4C2 Open-burning '!$C$9*'4C2 Open-burning '!$C$11*$C$5</f>
        <v>0</v>
      </c>
      <c r="X131" s="431">
        <f>H131*'4C2 Open-burning '!$C$9*'4C2 Open-burning '!$C$11*$C$5</f>
        <v>0</v>
      </c>
      <c r="Y131" s="431">
        <f>I131*'4C2 Open-burning '!$C$9*'4C2 Open-burning '!$C$11*$C$5</f>
        <v>2.0680352617830016</v>
      </c>
      <c r="Z131" s="432">
        <f t="shared" si="9"/>
        <v>6.3879345628548228</v>
      </c>
      <c r="AA131" s="433">
        <f>C131*'4C2 Open-burning '!$C$10*'4C2 Open-burning '!$C$11*$C$5*C$15</f>
        <v>1.7116628636722277E-2</v>
      </c>
      <c r="AB131" s="433">
        <f>D131*'4C2 Open-burning '!$C$10*'4C2 Open-burning '!$C$11*$C$5*D$15</f>
        <v>1.7876696423465756E-2</v>
      </c>
      <c r="AC131" s="433">
        <f>E131*'4C2 Open-burning '!$C$10*'4C2 Open-burning '!$C$11*$C$5*E$15</f>
        <v>1.0986004098376296E-2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4.2951501590877732E-2</v>
      </c>
      <c r="AH131" s="434">
        <f t="shared" si="10"/>
        <v>8.8930830749442052E-2</v>
      </c>
    </row>
    <row r="132" spans="1:34">
      <c r="A132" s="138">
        <f>'Input data'!A127</f>
        <v>2027</v>
      </c>
      <c r="B132" s="100">
        <f>'Recycling - Case 2'!AP107</f>
        <v>7.4490877934688157E-2</v>
      </c>
      <c r="C132" s="473">
        <f>'Recycling - Case 2'!$AK107*'Recycling - Case 2'!BM107*'4C2 Open-burning '!$B132</f>
        <v>442.31360987420572</v>
      </c>
      <c r="D132" s="474">
        <f>'Recycling - Case 2'!$AK107*'Recycling - Case 2'!BN107*'4C2 Open-burning '!$B132</f>
        <v>461.95464629783544</v>
      </c>
      <c r="E132" s="474">
        <f>'Recycling - Case 2'!$AK107*'Recycling - Case 2'!BO107*'4C2 Open-burning '!$B132</f>
        <v>126.17383777240411</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493.29635646226745</v>
      </c>
      <c r="J132" s="663">
        <f t="shared" si="12"/>
        <v>1523.7384504067127</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0.66653096237001286</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16.995046072838036</v>
      </c>
      <c r="R132" s="1181">
        <f t="shared" si="8"/>
        <v>17.661577035208047</v>
      </c>
      <c r="S132" s="431">
        <f>C132*'4C2 Open-burning '!$C$9*'4C2 Open-burning '!$C$11*$C$5</f>
        <v>1.7250230785094021</v>
      </c>
      <c r="T132" s="431">
        <f>D132*'4C2 Open-burning '!$C$9*'4C2 Open-burning '!$C$11*$C$5</f>
        <v>1.801623120561558</v>
      </c>
      <c r="U132" s="431">
        <f>E132*'4C2 Open-burning '!$C$9*'4C2 Open-burning '!$C$11*$C$5</f>
        <v>0.49207796731237596</v>
      </c>
      <c r="V132" s="431">
        <f>F132*'4C2 Open-burning '!$C$9*'4C2 Open-burning '!$C$11*$C$5</f>
        <v>0</v>
      </c>
      <c r="W132" s="431">
        <f>G132*'4C2 Open-burning '!$C$9*'4C2 Open-burning '!$C$11*$C$5</f>
        <v>0</v>
      </c>
      <c r="X132" s="431">
        <f>H132*'4C2 Open-burning '!$C$9*'4C2 Open-burning '!$C$11*$C$5</f>
        <v>0</v>
      </c>
      <c r="Y132" s="431">
        <f>I132*'4C2 Open-burning '!$C$9*'4C2 Open-burning '!$C$11*$C$5</f>
        <v>1.9238557902028428</v>
      </c>
      <c r="Z132" s="432">
        <f t="shared" si="9"/>
        <v>5.9425799565861794</v>
      </c>
      <c r="AA132" s="433">
        <f>C132*'4C2 Open-burning '!$C$10*'4C2 Open-burning '!$C$11*$C$5*C$15</f>
        <v>1.5923289955471404E-2</v>
      </c>
      <c r="AB132" s="433">
        <f>D132*'4C2 Open-burning '!$C$10*'4C2 Open-burning '!$C$11*$C$5*D$15</f>
        <v>1.6630367266722075E-2</v>
      </c>
      <c r="AC132" s="433">
        <f>E132*'4C2 Open-burning '!$C$10*'4C2 Open-burning '!$C$11*$C$5*E$15</f>
        <v>1.0220080859564733E-2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3.9957004873443669E-2</v>
      </c>
      <c r="AH132" s="434">
        <f t="shared" si="10"/>
        <v>8.2730742955201886E-2</v>
      </c>
    </row>
    <row r="133" spans="1:34">
      <c r="A133" s="138">
        <f>'Input data'!A128</f>
        <v>2028</v>
      </c>
      <c r="B133" s="100">
        <f>'Recycling - Case 2'!AP108</f>
        <v>6.9650668830486373E-2</v>
      </c>
      <c r="C133" s="473">
        <f>'Recycling - Case 2'!$AK108*'Recycling - Case 2'!BM108*'4C2 Open-burning '!$B133</f>
        <v>408.50849791562155</v>
      </c>
      <c r="D133" s="474">
        <f>'Recycling - Case 2'!$AK108*'Recycling - Case 2'!BN108*'4C2 Open-burning '!$B133</f>
        <v>426.64841065582618</v>
      </c>
      <c r="E133" s="474">
        <f>'Recycling - Case 2'!$AK108*'Recycling - Case 2'!BO108*'4C2 Open-burning '!$B133</f>
        <v>116.53063300338647</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455.59473890699661</v>
      </c>
      <c r="J133" s="663">
        <f t="shared" si="12"/>
        <v>1407.2822804818309</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0.61558938312900946</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15.696149944823846</v>
      </c>
      <c r="R133" s="1181">
        <f t="shared" si="8"/>
        <v>16.311739327952857</v>
      </c>
      <c r="S133" s="431">
        <f>C133*'4C2 Open-burning '!$C$9*'4C2 Open-burning '!$C$11*$C$5</f>
        <v>1.5931831418709239</v>
      </c>
      <c r="T133" s="431">
        <f>D133*'4C2 Open-burning '!$C$9*'4C2 Open-burning '!$C$11*$C$5</f>
        <v>1.663928801557722</v>
      </c>
      <c r="U133" s="431">
        <f>E133*'4C2 Open-burning '!$C$9*'4C2 Open-burning '!$C$11*$C$5</f>
        <v>0.4544694687132072</v>
      </c>
      <c r="V133" s="431">
        <f>F133*'4C2 Open-burning '!$C$9*'4C2 Open-burning '!$C$11*$C$5</f>
        <v>0</v>
      </c>
      <c r="W133" s="431">
        <f>G133*'4C2 Open-burning '!$C$9*'4C2 Open-burning '!$C$11*$C$5</f>
        <v>0</v>
      </c>
      <c r="X133" s="431">
        <f>H133*'4C2 Open-burning '!$C$9*'4C2 Open-burning '!$C$11*$C$5</f>
        <v>0</v>
      </c>
      <c r="Y133" s="431">
        <f>I133*'4C2 Open-burning '!$C$9*'4C2 Open-burning '!$C$11*$C$5</f>
        <v>1.7768194817372867</v>
      </c>
      <c r="Z133" s="432">
        <f t="shared" si="9"/>
        <v>5.48840089387914</v>
      </c>
      <c r="AA133" s="433">
        <f>C133*'4C2 Open-burning '!$C$10*'4C2 Open-burning '!$C$11*$C$5*C$15</f>
        <v>1.4706305924962373E-2</v>
      </c>
      <c r="AB133" s="433">
        <f>D133*'4C2 Open-burning '!$C$10*'4C2 Open-burning '!$C$11*$C$5*D$15</f>
        <v>1.5359342783609745E-2</v>
      </c>
      <c r="AC133" s="433">
        <f>E133*'4C2 Open-burning '!$C$10*'4C2 Open-burning '!$C$11*$C$5*E$15</f>
        <v>9.4389812732743016E-3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3.6903173851466728E-2</v>
      </c>
      <c r="AH133" s="434">
        <f t="shared" si="10"/>
        <v>7.6407803833313151E-2</v>
      </c>
    </row>
    <row r="134" spans="1:34">
      <c r="A134" s="138">
        <f>'Input data'!A129</f>
        <v>2029</v>
      </c>
      <c r="B134" s="100">
        <f>'Recycling - Case 2'!AP109</f>
        <v>6.456893299470301E-2</v>
      </c>
      <c r="C134" s="473">
        <f>'Recycling - Case 2'!$AK109*'Recycling - Case 2'!BM109*'4C2 Open-burning '!$B134</f>
        <v>374.02265479868714</v>
      </c>
      <c r="D134" s="474">
        <f>'Recycling - Case 2'!$AK109*'Recycling - Case 2'!BN109*'4C2 Open-burning '!$B134</f>
        <v>390.63121583358947</v>
      </c>
      <c r="E134" s="474">
        <f>'Recycling - Case 2'!$AK109*'Recycling - Case 2'!BO109*'4C2 Open-burning '!$B134</f>
        <v>106.69324369918181</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417.13392653463643</v>
      </c>
      <c r="J134" s="663">
        <f t="shared" si="12"/>
        <v>1288.4810408660949</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0.56362199689504577</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14.371098036971294</v>
      </c>
      <c r="R134" s="1181">
        <f t="shared" si="8"/>
        <v>14.93472003386634</v>
      </c>
      <c r="S134" s="431">
        <f>C134*'4C2 Open-burning '!$C$9*'4C2 Open-burning '!$C$11*$C$5</f>
        <v>1.4586883537148798</v>
      </c>
      <c r="T134" s="431">
        <f>D134*'4C2 Open-burning '!$C$9*'4C2 Open-burning '!$C$11*$C$5</f>
        <v>1.5234617417509988</v>
      </c>
      <c r="U134" s="431">
        <f>E134*'4C2 Open-burning '!$C$9*'4C2 Open-burning '!$C$11*$C$5</f>
        <v>0.41610365042680902</v>
      </c>
      <c r="V134" s="431">
        <f>F134*'4C2 Open-burning '!$C$9*'4C2 Open-burning '!$C$11*$C$5</f>
        <v>0</v>
      </c>
      <c r="W134" s="431">
        <f>G134*'4C2 Open-burning '!$C$9*'4C2 Open-burning '!$C$11*$C$5</f>
        <v>0</v>
      </c>
      <c r="X134" s="431">
        <f>H134*'4C2 Open-burning '!$C$9*'4C2 Open-burning '!$C$11*$C$5</f>
        <v>0</v>
      </c>
      <c r="Y134" s="431">
        <f>I134*'4C2 Open-burning '!$C$9*'4C2 Open-burning '!$C$11*$C$5</f>
        <v>1.6268223134850821</v>
      </c>
      <c r="Z134" s="432">
        <f t="shared" si="9"/>
        <v>5.0250760593777697</v>
      </c>
      <c r="AA134" s="433">
        <f>C134*'4C2 Open-burning '!$C$10*'4C2 Open-burning '!$C$11*$C$5*C$15</f>
        <v>1.3464815572752737E-2</v>
      </c>
      <c r="AB134" s="433">
        <f>D134*'4C2 Open-burning '!$C$10*'4C2 Open-burning '!$C$11*$C$5*D$15</f>
        <v>1.4062723770009221E-2</v>
      </c>
      <c r="AC134" s="433">
        <f>E134*'4C2 Open-burning '!$C$10*'4C2 Open-burning '!$C$11*$C$5*E$15</f>
        <v>8.642152739633726E-3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3.3787848049305548E-2</v>
      </c>
      <c r="AH134" s="434">
        <f t="shared" si="10"/>
        <v>6.9957540131701232E-2</v>
      </c>
    </row>
    <row r="135" spans="1:34">
      <c r="A135" s="138">
        <f>'Input data'!A130</f>
        <v>2030</v>
      </c>
      <c r="B135" s="100">
        <f>'Recycling - Case 2'!AP110</f>
        <v>5.9232841965285256E-2</v>
      </c>
      <c r="C135" s="473">
        <f>'Recycling - Case 2'!$AK110*'Recycling - Case 2'!BM110*'4C2 Open-burning '!$B135</f>
        <v>338.8310757638115</v>
      </c>
      <c r="D135" s="474">
        <f>'Recycling - Case 2'!$AK110*'Recycling - Case 2'!BN110*'4C2 Open-burning '!$B135</f>
        <v>353.87694672949891</v>
      </c>
      <c r="E135" s="474">
        <f>'Recycling - Case 2'!$AK110*'Recycling - Case 2'!BO110*'4C2 Open-burning '!$B135</f>
        <v>96.654537032742255</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377.88603244203728</v>
      </c>
      <c r="J135" s="663">
        <f t="shared" si="12"/>
        <v>1167.2485919680898</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0.51059112351064551</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13.018929589693068</v>
      </c>
      <c r="R135" s="1181">
        <f t="shared" si="8"/>
        <v>13.529520713203713</v>
      </c>
      <c r="S135" s="431">
        <f>C135*'4C2 Open-burning '!$C$9*'4C2 Open-burning '!$C$11*$C$5</f>
        <v>1.321441195478865</v>
      </c>
      <c r="T135" s="431">
        <f>D135*'4C2 Open-burning '!$C$9*'4C2 Open-burning '!$C$11*$C$5</f>
        <v>1.3801200922450456</v>
      </c>
      <c r="U135" s="431">
        <f>E135*'4C2 Open-burning '!$C$9*'4C2 Open-burning '!$C$11*$C$5</f>
        <v>0.37695269442769475</v>
      </c>
      <c r="V135" s="431">
        <f>F135*'4C2 Open-burning '!$C$9*'4C2 Open-burning '!$C$11*$C$5</f>
        <v>0</v>
      </c>
      <c r="W135" s="431">
        <f>G135*'4C2 Open-burning '!$C$9*'4C2 Open-burning '!$C$11*$C$5</f>
        <v>0</v>
      </c>
      <c r="X135" s="431">
        <f>H135*'4C2 Open-burning '!$C$9*'4C2 Open-burning '!$C$11*$C$5</f>
        <v>0</v>
      </c>
      <c r="Y135" s="431">
        <f>I135*'4C2 Open-burning '!$C$9*'4C2 Open-burning '!$C$11*$C$5</f>
        <v>1.4737555265239453</v>
      </c>
      <c r="Z135" s="432">
        <f t="shared" si="9"/>
        <v>4.5522695086755505</v>
      </c>
      <c r="AA135" s="433">
        <f>C135*'4C2 Open-burning '!$C$10*'4C2 Open-burning '!$C$11*$C$5*C$15</f>
        <v>1.2197918727497212E-2</v>
      </c>
      <c r="AB135" s="433">
        <f>D135*'4C2 Open-burning '!$C$10*'4C2 Open-burning '!$C$11*$C$5*D$15</f>
        <v>1.2739570082261962E-2</v>
      </c>
      <c r="AC135" s="433">
        <f>E135*'4C2 Open-burning '!$C$10*'4C2 Open-burning '!$C$11*$C$5*E$15</f>
        <v>7.8290174996521224E-3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3.0608768627805014E-2</v>
      </c>
      <c r="AH135" s="434">
        <f t="shared" si="10"/>
        <v>6.3375274937216314E-2</v>
      </c>
    </row>
    <row r="136" spans="1:34">
      <c r="A136" s="138">
        <f>'Input data'!A131</f>
        <v>2031</v>
      </c>
      <c r="B136" s="100">
        <f>'Recycling - Case 2'!AP111</f>
        <v>5.3303987081268309E-2</v>
      </c>
      <c r="C136" s="473">
        <f>'Recycling - Case 2'!$AK111*'Recycling - Case 2'!BM111*'4C2 Open-burning '!$B136</f>
        <v>298.82604241262339</v>
      </c>
      <c r="D136" s="474">
        <f>'Recycling - Case 2'!$AK111*'Recycling - Case 2'!BN111*'4C2 Open-burning '!$B136</f>
        <v>312.09548077565421</v>
      </c>
      <c r="E136" s="474">
        <f>'Recycling - Case 2'!$AK111*'Recycling - Case 2'!BO111*'4C2 Open-burning '!$B136</f>
        <v>85.242750292632735</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333.26986700705311</v>
      </c>
      <c r="J136" s="663">
        <f t="shared" si="12"/>
        <v>1029.4341404879635</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0.45030676240587336</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11.481813458126993</v>
      </c>
      <c r="R136" s="1181">
        <f t="shared" si="8"/>
        <v>11.932120220532866</v>
      </c>
      <c r="S136" s="431">
        <f>C136*'4C2 Open-burning '!$C$9*'4C2 Open-burning '!$C$11*$C$5</f>
        <v>1.1654215654092313</v>
      </c>
      <c r="T136" s="431">
        <f>D136*'4C2 Open-burning '!$C$9*'4C2 Open-burning '!$C$11*$C$5</f>
        <v>1.2171723750250514</v>
      </c>
      <c r="U136" s="431">
        <f>E136*'4C2 Open-burning '!$C$9*'4C2 Open-burning '!$C$11*$C$5</f>
        <v>0.33244672614126763</v>
      </c>
      <c r="V136" s="431">
        <f>F136*'4C2 Open-burning '!$C$9*'4C2 Open-burning '!$C$11*$C$5</f>
        <v>0</v>
      </c>
      <c r="W136" s="431">
        <f>G136*'4C2 Open-burning '!$C$9*'4C2 Open-burning '!$C$11*$C$5</f>
        <v>0</v>
      </c>
      <c r="X136" s="431">
        <f>H136*'4C2 Open-burning '!$C$9*'4C2 Open-burning '!$C$11*$C$5</f>
        <v>0</v>
      </c>
      <c r="Y136" s="431">
        <f>I136*'4C2 Open-burning '!$C$9*'4C2 Open-burning '!$C$11*$C$5</f>
        <v>1.299752481327507</v>
      </c>
      <c r="Z136" s="432">
        <f t="shared" si="9"/>
        <v>4.014793147903057</v>
      </c>
      <c r="AA136" s="433">
        <f>C136*'4C2 Open-burning '!$C$10*'4C2 Open-burning '!$C$11*$C$5*C$15</f>
        <v>1.0757737526854444E-2</v>
      </c>
      <c r="AB136" s="433">
        <f>D136*'4C2 Open-burning '!$C$10*'4C2 Open-burning '!$C$11*$C$5*D$15</f>
        <v>1.123543730792355E-2</v>
      </c>
      <c r="AC136" s="433">
        <f>E136*'4C2 Open-burning '!$C$10*'4C2 Open-burning '!$C$11*$C$5*E$15</f>
        <v>6.9046627737032514E-3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2.6994859227571302E-2</v>
      </c>
      <c r="AH136" s="434">
        <f t="shared" si="10"/>
        <v>5.5892696836052552E-2</v>
      </c>
    </row>
    <row r="137" spans="1:34">
      <c r="A137" s="138">
        <f>'Input data'!A132</f>
        <v>2032</v>
      </c>
      <c r="B137" s="100">
        <f>'Recycling - Case 2'!AP112</f>
        <v>4.7169902017933425E-2</v>
      </c>
      <c r="C137" s="473">
        <f>'Recycling - Case 2'!$AK112*'Recycling - Case 2'!BM112*'4C2 Open-burning '!$B137</f>
        <v>259.06958659317866</v>
      </c>
      <c r="D137" s="474">
        <f>'Recycling - Case 2'!$AK112*'Recycling - Case 2'!BN112*'4C2 Open-burning '!$B137</f>
        <v>270.57363049537389</v>
      </c>
      <c r="E137" s="474">
        <f>'Recycling - Case 2'!$AK112*'Recycling - Case 2'!BO112*'4C2 Open-burning '!$B137</f>
        <v>73.901872474301555</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288.93093109422244</v>
      </c>
      <c r="J137" s="663">
        <f t="shared" si="12"/>
        <v>892.47602065707656</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0.39039698760764435</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9.9542484380581513</v>
      </c>
      <c r="R137" s="1181">
        <f t="shared" si="8"/>
        <v>10.344645425665796</v>
      </c>
      <c r="S137" s="431">
        <f>C137*'4C2 Open-burning '!$C$9*'4C2 Open-burning '!$C$11*$C$5</f>
        <v>1.0103713877133966</v>
      </c>
      <c r="T137" s="431">
        <f>D137*'4C2 Open-burning '!$C$9*'4C2 Open-burning '!$C$11*$C$5</f>
        <v>1.055237158931958</v>
      </c>
      <c r="U137" s="431">
        <f>E137*'4C2 Open-burning '!$C$9*'4C2 Open-burning '!$C$11*$C$5</f>
        <v>0.28821730264977602</v>
      </c>
      <c r="V137" s="431">
        <f>F137*'4C2 Open-burning '!$C$9*'4C2 Open-burning '!$C$11*$C$5</f>
        <v>0</v>
      </c>
      <c r="W137" s="431">
        <f>G137*'4C2 Open-burning '!$C$9*'4C2 Open-burning '!$C$11*$C$5</f>
        <v>0</v>
      </c>
      <c r="X137" s="431">
        <f>H137*'4C2 Open-burning '!$C$9*'4C2 Open-burning '!$C$11*$C$5</f>
        <v>0</v>
      </c>
      <c r="Y137" s="431">
        <f>I137*'4C2 Open-burning '!$C$9*'4C2 Open-burning '!$C$11*$C$5</f>
        <v>1.1268306312674674</v>
      </c>
      <c r="Z137" s="432">
        <f t="shared" si="9"/>
        <v>3.4806564805625984</v>
      </c>
      <c r="AA137" s="433">
        <f>C137*'4C2 Open-burning '!$C$10*'4C2 Open-burning '!$C$11*$C$5*C$15</f>
        <v>9.3265051173544306E-3</v>
      </c>
      <c r="AB137" s="433">
        <f>D137*'4C2 Open-burning '!$C$10*'4C2 Open-burning '!$C$11*$C$5*D$15</f>
        <v>9.7406506978334612E-3</v>
      </c>
      <c r="AC137" s="433">
        <f>E137*'4C2 Open-burning '!$C$10*'4C2 Open-burning '!$C$11*$C$5*E$15</f>
        <v>5.9860516704184257E-3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2.3403405418632013E-2</v>
      </c>
      <c r="AH137" s="434">
        <f t="shared" si="10"/>
        <v>4.8456612904238333E-2</v>
      </c>
    </row>
    <row r="138" spans="1:34">
      <c r="A138" s="138">
        <f>'Input data'!A133</f>
        <v>2033</v>
      </c>
      <c r="B138" s="100">
        <f>'Recycling - Case 2'!AP113</f>
        <v>4.6838844603991521E-2</v>
      </c>
      <c r="C138" s="473">
        <f>'Recycling - Case 2'!$AK113*'Recycling - Case 2'!BM113*'4C2 Open-burning '!$B138</f>
        <v>258.30163348813284</v>
      </c>
      <c r="D138" s="474">
        <f>'Recycling - Case 2'!$AK113*'Recycling - Case 2'!BN113*'4C2 Open-burning '!$B138</f>
        <v>269.77157625807456</v>
      </c>
      <c r="E138" s="474">
        <f>'Recycling - Case 2'!$AK113*'Recycling - Case 2'!BO113*'4C2 Open-burning '!$B138</f>
        <v>73.682807113594208</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288.0744607975912</v>
      </c>
      <c r="J138" s="663">
        <f t="shared" si="12"/>
        <v>889.83047765739275</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0.38923974417055729</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9.9247413233986101</v>
      </c>
      <c r="R138" s="1181">
        <f t="shared" si="8"/>
        <v>10.313981067569168</v>
      </c>
      <c r="S138" s="431">
        <f>C138*'4C2 Open-burning '!$C$9*'4C2 Open-burning '!$C$11*$C$5</f>
        <v>1.007376370603718</v>
      </c>
      <c r="T138" s="431">
        <f>D138*'4C2 Open-burning '!$C$9*'4C2 Open-burning '!$C$11*$C$5</f>
        <v>1.0521091474064908</v>
      </c>
      <c r="U138" s="431">
        <f>E138*'4C2 Open-burning '!$C$9*'4C2 Open-burning '!$C$11*$C$5</f>
        <v>0.28736294774301735</v>
      </c>
      <c r="V138" s="431">
        <f>F138*'4C2 Open-burning '!$C$9*'4C2 Open-burning '!$C$11*$C$5</f>
        <v>0</v>
      </c>
      <c r="W138" s="431">
        <f>G138*'4C2 Open-burning '!$C$9*'4C2 Open-burning '!$C$11*$C$5</f>
        <v>0</v>
      </c>
      <c r="X138" s="431">
        <f>H138*'4C2 Open-burning '!$C$9*'4C2 Open-burning '!$C$11*$C$5</f>
        <v>0</v>
      </c>
      <c r="Y138" s="431">
        <f>I138*'4C2 Open-burning '!$C$9*'4C2 Open-burning '!$C$11*$C$5</f>
        <v>1.1234903971106056</v>
      </c>
      <c r="Z138" s="432">
        <f t="shared" si="9"/>
        <v>3.4703388628638314</v>
      </c>
      <c r="AA138" s="433">
        <f>C138*'4C2 Open-burning '!$C$10*'4C2 Open-burning '!$C$11*$C$5*C$15</f>
        <v>9.2988588055727805E-3</v>
      </c>
      <c r="AB138" s="433">
        <f>D138*'4C2 Open-burning '!$C$10*'4C2 Open-burning '!$C$11*$C$5*D$15</f>
        <v>9.7117767452906834E-3</v>
      </c>
      <c r="AC138" s="433">
        <f>E138*'4C2 Open-burning '!$C$10*'4C2 Open-burning '!$C$11*$C$5*E$15</f>
        <v>5.968307376201131E-3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2.333403132460489E-2</v>
      </c>
      <c r="AH138" s="434">
        <f t="shared" si="10"/>
        <v>4.8312974251669485E-2</v>
      </c>
    </row>
    <row r="139" spans="1:34">
      <c r="A139" s="138">
        <f>'Input data'!A134</f>
        <v>2034</v>
      </c>
      <c r="B139" s="100">
        <f>'Recycling - Case 2'!AP114</f>
        <v>4.6510696882263718E-2</v>
      </c>
      <c r="C139" s="473">
        <f>'Recycling - Case 2'!$AK114*'Recycling - Case 2'!BM114*'4C2 Open-burning '!$B139</f>
        <v>257.54466088971469</v>
      </c>
      <c r="D139" s="474">
        <f>'Recycling - Case 2'!$AK114*'Recycling - Case 2'!BN114*'4C2 Open-burning '!$B139</f>
        <v>268.98099011929656</v>
      </c>
      <c r="E139" s="474">
        <f>'Recycling - Case 2'!$AK114*'Recycling - Case 2'!BO114*'4C2 Open-burning '!$B139</f>
        <v>73.466874038737828</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287.23023666248571</v>
      </c>
      <c r="J139" s="663">
        <f t="shared" si="12"/>
        <v>887.22276171023475</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0.38809904747199797</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9.8956561134959564</v>
      </c>
      <c r="R139" s="1181">
        <f t="shared" si="8"/>
        <v>10.283755160967955</v>
      </c>
      <c r="S139" s="431">
        <f>C139*'4C2 Open-burning '!$C$9*'4C2 Open-burning '!$C$11*$C$5</f>
        <v>1.0044241774698872</v>
      </c>
      <c r="T139" s="431">
        <f>D139*'4C2 Open-burning '!$C$9*'4C2 Open-burning '!$C$11*$C$5</f>
        <v>1.0490258614652563</v>
      </c>
      <c r="U139" s="431">
        <f>E139*'4C2 Open-burning '!$C$9*'4C2 Open-burning '!$C$11*$C$5</f>
        <v>0.28652080875107749</v>
      </c>
      <c r="V139" s="431">
        <f>F139*'4C2 Open-burning '!$C$9*'4C2 Open-burning '!$C$11*$C$5</f>
        <v>0</v>
      </c>
      <c r="W139" s="431">
        <f>G139*'4C2 Open-burning '!$C$9*'4C2 Open-burning '!$C$11*$C$5</f>
        <v>0</v>
      </c>
      <c r="X139" s="431">
        <f>H139*'4C2 Open-burning '!$C$9*'4C2 Open-burning '!$C$11*$C$5</f>
        <v>0</v>
      </c>
      <c r="Y139" s="431">
        <f>I139*'4C2 Open-burning '!$C$9*'4C2 Open-burning '!$C$11*$C$5</f>
        <v>1.1201979229836942</v>
      </c>
      <c r="Z139" s="432">
        <f t="shared" si="9"/>
        <v>3.4601687706699158</v>
      </c>
      <c r="AA139" s="433">
        <f>C139*'4C2 Open-burning '!$C$10*'4C2 Open-burning '!$C$11*$C$5*C$15</f>
        <v>9.2716077920297277E-3</v>
      </c>
      <c r="AB139" s="433">
        <f>D139*'4C2 Open-burning '!$C$10*'4C2 Open-burning '!$C$11*$C$5*D$15</f>
        <v>9.6833156442946763E-3</v>
      </c>
      <c r="AC139" s="433">
        <f>E139*'4C2 Open-burning '!$C$10*'4C2 Open-burning '!$C$11*$C$5*E$15</f>
        <v>5.950816797137764E-3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2.326564916966134E-2</v>
      </c>
      <c r="AH139" s="434">
        <f t="shared" si="10"/>
        <v>4.8171389403123509E-2</v>
      </c>
    </row>
    <row r="140" spans="1:34">
      <c r="A140" s="138">
        <f>'Input data'!A135</f>
        <v>2035</v>
      </c>
      <c r="B140" s="100">
        <f>'Recycling - Case 2'!AP115</f>
        <v>4.6185410753871683E-2</v>
      </c>
      <c r="C140" s="473">
        <f>'Recycling - Case 2'!$AK115*'Recycling - Case 2'!BM115*'4C2 Open-burning '!$B140</f>
        <v>256.79846171705356</v>
      </c>
      <c r="D140" s="474">
        <f>'Recycling - Case 2'!$AK115*'Recycling - Case 2'!BN115*'4C2 Open-burning '!$B140</f>
        <v>268.20165580269605</v>
      </c>
      <c r="E140" s="474">
        <f>'Recycling - Case 2'!$AK115*'Recycling - Case 2'!BO115*'4C2 Open-burning '!$B140</f>
        <v>73.25401417809725</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286.39802773910759</v>
      </c>
      <c r="J140" s="663">
        <f t="shared" si="12"/>
        <v>884.65215943695443</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0.38697458545778363</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9.8669848516677341</v>
      </c>
      <c r="R140" s="1181">
        <f t="shared" si="8"/>
        <v>10.253959437125518</v>
      </c>
      <c r="S140" s="431">
        <f>C140*'4C2 Open-burning '!$C$9*'4C2 Open-burning '!$C$11*$C$5</f>
        <v>1.0015140006965089</v>
      </c>
      <c r="T140" s="431">
        <f>D140*'4C2 Open-burning '!$C$9*'4C2 Open-burning '!$C$11*$C$5</f>
        <v>1.0459864576305145</v>
      </c>
      <c r="U140" s="431">
        <f>E140*'4C2 Open-burning '!$C$9*'4C2 Open-burning '!$C$11*$C$5</f>
        <v>0.28569065529457921</v>
      </c>
      <c r="V140" s="431">
        <f>F140*'4C2 Open-burning '!$C$9*'4C2 Open-burning '!$C$11*$C$5</f>
        <v>0</v>
      </c>
      <c r="W140" s="431">
        <f>G140*'4C2 Open-burning '!$C$9*'4C2 Open-burning '!$C$11*$C$5</f>
        <v>0</v>
      </c>
      <c r="X140" s="431">
        <f>H140*'4C2 Open-burning '!$C$9*'4C2 Open-burning '!$C$11*$C$5</f>
        <v>0</v>
      </c>
      <c r="Y140" s="431">
        <f>I140*'4C2 Open-burning '!$C$9*'4C2 Open-burning '!$C$11*$C$5</f>
        <v>1.1169523081825194</v>
      </c>
      <c r="Z140" s="432">
        <f t="shared" si="9"/>
        <v>3.450143421804122</v>
      </c>
      <c r="AA140" s="433">
        <f>C140*'4C2 Open-burning '!$C$10*'4C2 Open-burning '!$C$11*$C$5*C$15</f>
        <v>9.2447446218139277E-3</v>
      </c>
      <c r="AB140" s="433">
        <f>D140*'4C2 Open-burning '!$C$10*'4C2 Open-burning '!$C$11*$C$5*D$15</f>
        <v>9.6552596088970571E-3</v>
      </c>
      <c r="AC140" s="433">
        <f>E140*'4C2 Open-burning '!$C$10*'4C2 Open-burning '!$C$11*$C$5*E$15</f>
        <v>5.9335751484258775E-3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2.3198240246867712E-2</v>
      </c>
      <c r="AH140" s="434">
        <f t="shared" si="10"/>
        <v>4.8031819626004571E-2</v>
      </c>
    </row>
    <row r="141" spans="1:34">
      <c r="A141" s="138">
        <f>'Input data'!A136</f>
        <v>2036</v>
      </c>
      <c r="B141" s="100">
        <f>'Recycling - Case 2'!AP116</f>
        <v>4.5908441368712229E-2</v>
      </c>
      <c r="C141" s="473">
        <f>'Recycling - Case 2'!$AK116*'Recycling - Case 2'!BM116*'4C2 Open-burning '!$B141</f>
        <v>256.16638525188546</v>
      </c>
      <c r="D141" s="474">
        <f>'Recycling - Case 2'!$AK116*'Recycling - Case 2'!BN116*'4C2 Open-burning '!$B141</f>
        <v>267.54151183836512</v>
      </c>
      <c r="E141" s="474">
        <f>'Recycling - Case 2'!$AK116*'Recycling - Case 2'!BO116*'4C2 Open-burning '!$B141</f>
        <v>73.073708821003336</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285.69309573992803</v>
      </c>
      <c r="J141" s="663">
        <f t="shared" si="12"/>
        <v>882.47470165118193</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0.38602209716618507</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9.8426985344319995</v>
      </c>
      <c r="R141" s="1181">
        <f t="shared" si="8"/>
        <v>10.228720631598184</v>
      </c>
      <c r="S141" s="431">
        <f>C141*'4C2 Open-burning '!$C$9*'4C2 Open-burning '!$C$11*$C$5</f>
        <v>0.99904890248235312</v>
      </c>
      <c r="T141" s="431">
        <f>D141*'4C2 Open-burning '!$C$9*'4C2 Open-burning '!$C$11*$C$5</f>
        <v>1.0434118961696239</v>
      </c>
      <c r="U141" s="431">
        <f>E141*'4C2 Open-burning '!$C$9*'4C2 Open-burning '!$C$11*$C$5</f>
        <v>0.28498746440191297</v>
      </c>
      <c r="V141" s="431">
        <f>F141*'4C2 Open-burning '!$C$9*'4C2 Open-burning '!$C$11*$C$5</f>
        <v>0</v>
      </c>
      <c r="W141" s="431">
        <f>G141*'4C2 Open-burning '!$C$9*'4C2 Open-burning '!$C$11*$C$5</f>
        <v>0</v>
      </c>
      <c r="X141" s="431">
        <f>H141*'4C2 Open-burning '!$C$9*'4C2 Open-burning '!$C$11*$C$5</f>
        <v>0</v>
      </c>
      <c r="Y141" s="431">
        <f>I141*'4C2 Open-burning '!$C$9*'4C2 Open-burning '!$C$11*$C$5</f>
        <v>1.1142030733857191</v>
      </c>
      <c r="Z141" s="432">
        <f t="shared" si="9"/>
        <v>3.4416513364396093</v>
      </c>
      <c r="AA141" s="433">
        <f>C141*'4C2 Open-burning '!$C$10*'4C2 Open-burning '!$C$11*$C$5*C$15</f>
        <v>9.2219898690678783E-3</v>
      </c>
      <c r="AB141" s="433">
        <f>D141*'4C2 Open-burning '!$C$10*'4C2 Open-burning '!$C$11*$C$5*D$15</f>
        <v>9.6314944261811433E-3</v>
      </c>
      <c r="AC141" s="433">
        <f>E141*'4C2 Open-burning '!$C$10*'4C2 Open-burning '!$C$11*$C$5*E$15</f>
        <v>5.9189704145012701E-3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2.3141140754934165E-2</v>
      </c>
      <c r="AH141" s="434">
        <f t="shared" si="10"/>
        <v>4.7913595464684461E-2</v>
      </c>
    </row>
    <row r="142" spans="1:34">
      <c r="A142" s="138">
        <f>'Input data'!A137</f>
        <v>2037</v>
      </c>
      <c r="B142" s="100">
        <f>'Recycling - Case 2'!AP117</f>
        <v>4.5633516922949667E-2</v>
      </c>
      <c r="C142" s="473">
        <f>'Recycling - Case 2'!$AK117*'Recycling - Case 2'!BM117*'4C2 Open-burning '!$B142</f>
        <v>255.5419728933048</v>
      </c>
      <c r="D142" s="474">
        <f>'Recycling - Case 2'!$AK117*'Recycling - Case 2'!BN117*'4C2 Open-burning '!$B142</f>
        <v>266.88937230701725</v>
      </c>
      <c r="E142" s="474">
        <f>'Recycling - Case 2'!$AK117*'Recycling - Case 2'!BO117*'4C2 Open-burning '!$B142</f>
        <v>72.895589717553079</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284.99671124136955</v>
      </c>
      <c r="J142" s="663">
        <f t="shared" si="12"/>
        <v>880.32364615924473</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0.38508115806553461</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9.8187066956876627</v>
      </c>
      <c r="R142" s="1181">
        <f t="shared" si="8"/>
        <v>10.203787853753198</v>
      </c>
      <c r="S142" s="431">
        <f>C142*'4C2 Open-burning '!$C$9*'4C2 Open-burning '!$C$11*$C$5</f>
        <v>0.99661369428388857</v>
      </c>
      <c r="T142" s="431">
        <f>D142*'4C2 Open-burning '!$C$9*'4C2 Open-burning '!$C$11*$C$5</f>
        <v>1.0408685519973673</v>
      </c>
      <c r="U142" s="431">
        <f>E142*'4C2 Open-burning '!$C$9*'4C2 Open-burning '!$C$11*$C$5</f>
        <v>0.28429279989845696</v>
      </c>
      <c r="V142" s="431">
        <f>F142*'4C2 Open-burning '!$C$9*'4C2 Open-burning '!$C$11*$C$5</f>
        <v>0</v>
      </c>
      <c r="W142" s="431">
        <f>G142*'4C2 Open-burning '!$C$9*'4C2 Open-burning '!$C$11*$C$5</f>
        <v>0</v>
      </c>
      <c r="X142" s="431">
        <f>H142*'4C2 Open-burning '!$C$9*'4C2 Open-burning '!$C$11*$C$5</f>
        <v>0</v>
      </c>
      <c r="Y142" s="431">
        <f>I142*'4C2 Open-burning '!$C$9*'4C2 Open-burning '!$C$11*$C$5</f>
        <v>1.1114871738413412</v>
      </c>
      <c r="Z142" s="432">
        <f t="shared" si="9"/>
        <v>3.4332622200210539</v>
      </c>
      <c r="AA142" s="433">
        <f>C142*'4C2 Open-burning '!$C$10*'4C2 Open-burning '!$C$11*$C$5*C$15</f>
        <v>9.1995110241589722E-3</v>
      </c>
      <c r="AB142" s="433">
        <f>D142*'4C2 Open-burning '!$C$10*'4C2 Open-burning '!$C$11*$C$5*D$15</f>
        <v>9.6080174030526207E-3</v>
      </c>
      <c r="AC142" s="433">
        <f>E142*'4C2 Open-burning '!$C$10*'4C2 Open-burning '!$C$11*$C$5*E$15</f>
        <v>5.9045427671217997E-3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2.3084733610550929E-2</v>
      </c>
      <c r="AH142" s="434">
        <f t="shared" si="10"/>
        <v>4.7796804804884324E-2</v>
      </c>
    </row>
    <row r="143" spans="1:34">
      <c r="A143" s="138">
        <f>'Input data'!A138</f>
        <v>2038</v>
      </c>
      <c r="B143" s="100">
        <f>'Recycling - Case 2'!AP118</f>
        <v>4.5360609115513109E-2</v>
      </c>
      <c r="C143" s="473">
        <f>'Recycling - Case 2'!$AK118*'Recycling - Case 2'!BM118*'4C2 Open-burning '!$B143</f>
        <v>254.9251023999845</v>
      </c>
      <c r="D143" s="474">
        <f>'Recycling - Case 2'!$AK118*'Recycling - Case 2'!BN118*'4C2 Open-burning '!$B143</f>
        <v>266.24510953917166</v>
      </c>
      <c r="E143" s="474">
        <f>'Recycling - Case 2'!$AK118*'Recycling - Case 2'!BO118*'4C2 Open-burning '!$B143</f>
        <v>72.719621997335494</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284.30873791210541</v>
      </c>
      <c r="J143" s="663">
        <f t="shared" si="12"/>
        <v>878.19857184859711</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0.38415158394800436</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9.7950046385478551</v>
      </c>
      <c r="R143" s="1181">
        <f t="shared" si="8"/>
        <v>10.179156222495859</v>
      </c>
      <c r="S143" s="431">
        <f>C143*'4C2 Open-burning '!$C$9*'4C2 Open-burning '!$C$11*$C$5</f>
        <v>0.99420789935993936</v>
      </c>
      <c r="T143" s="431">
        <f>D143*'4C2 Open-burning '!$C$9*'4C2 Open-burning '!$C$11*$C$5</f>
        <v>1.0383559272027696</v>
      </c>
      <c r="U143" s="431">
        <f>E143*'4C2 Open-burning '!$C$9*'4C2 Open-burning '!$C$11*$C$5</f>
        <v>0.28360652578960843</v>
      </c>
      <c r="V143" s="431">
        <f>F143*'4C2 Open-burning '!$C$9*'4C2 Open-burning '!$C$11*$C$5</f>
        <v>0</v>
      </c>
      <c r="W143" s="431">
        <f>G143*'4C2 Open-burning '!$C$9*'4C2 Open-burning '!$C$11*$C$5</f>
        <v>0</v>
      </c>
      <c r="X143" s="431">
        <f>H143*'4C2 Open-burning '!$C$9*'4C2 Open-burning '!$C$11*$C$5</f>
        <v>0</v>
      </c>
      <c r="Y143" s="431">
        <f>I143*'4C2 Open-burning '!$C$9*'4C2 Open-burning '!$C$11*$C$5</f>
        <v>1.108804077857211</v>
      </c>
      <c r="Z143" s="432">
        <f t="shared" si="9"/>
        <v>3.4249744302095286</v>
      </c>
      <c r="AA143" s="433">
        <f>C143*'4C2 Open-burning '!$C$10*'4C2 Open-burning '!$C$11*$C$5*C$15</f>
        <v>9.1773036863994403E-3</v>
      </c>
      <c r="AB143" s="433">
        <f>D143*'4C2 Open-burning '!$C$10*'4C2 Open-burning '!$C$11*$C$5*D$15</f>
        <v>9.5848239434101808E-3</v>
      </c>
      <c r="AC143" s="433">
        <f>E143*'4C2 Open-burning '!$C$10*'4C2 Open-burning '!$C$11*$C$5*E$15</f>
        <v>5.8902893817841745E-3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2.3029007770880537E-2</v>
      </c>
      <c r="AH143" s="434">
        <f t="shared" si="10"/>
        <v>4.7681424782474335E-2</v>
      </c>
    </row>
    <row r="144" spans="1:34">
      <c r="A144" s="138">
        <f>'Input data'!A139</f>
        <v>2039</v>
      </c>
      <c r="B144" s="100">
        <f>'Recycling - Case 2'!AP119</f>
        <v>4.5089690262495104E-2</v>
      </c>
      <c r="C144" s="473">
        <f>'Recycling - Case 2'!$AK119*'Recycling - Case 2'!BM119*'4C2 Open-burning '!$B144</f>
        <v>254.31565406930503</v>
      </c>
      <c r="D144" s="474">
        <f>'Recycling - Case 2'!$AK119*'Recycling - Case 2'!BN119*'4C2 Open-burning '!$B144</f>
        <v>265.60859851678663</v>
      </c>
      <c r="E144" s="474">
        <f>'Recycling - Case 2'!$AK119*'Recycling - Case 2'!BO119*'4C2 Open-burning '!$B144</f>
        <v>72.545771514128134</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283.62904225213759</v>
      </c>
      <c r="J144" s="663">
        <f t="shared" si="12"/>
        <v>876.09906635235734</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0.38323319443139386</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9.7715877636706434</v>
      </c>
      <c r="R144" s="1181">
        <f t="shared" si="8"/>
        <v>10.154820958102038</v>
      </c>
      <c r="S144" s="431">
        <f>C144*'4C2 Open-burning '!$C$9*'4C2 Open-burning '!$C$11*$C$5</f>
        <v>0.99183105087028967</v>
      </c>
      <c r="T144" s="431">
        <f>D144*'4C2 Open-burning '!$C$9*'4C2 Open-burning '!$C$11*$C$5</f>
        <v>1.0358735342154677</v>
      </c>
      <c r="U144" s="431">
        <f>E144*'4C2 Open-burning '!$C$9*'4C2 Open-burning '!$C$11*$C$5</f>
        <v>0.28292850890509968</v>
      </c>
      <c r="V144" s="431">
        <f>F144*'4C2 Open-burning '!$C$9*'4C2 Open-burning '!$C$11*$C$5</f>
        <v>0</v>
      </c>
      <c r="W144" s="431">
        <f>G144*'4C2 Open-burning '!$C$9*'4C2 Open-burning '!$C$11*$C$5</f>
        <v>0</v>
      </c>
      <c r="X144" s="431">
        <f>H144*'4C2 Open-burning '!$C$9*'4C2 Open-burning '!$C$11*$C$5</f>
        <v>0</v>
      </c>
      <c r="Y144" s="431">
        <f>I144*'4C2 Open-burning '!$C$9*'4C2 Open-burning '!$C$11*$C$5</f>
        <v>1.1061532647833365</v>
      </c>
      <c r="Z144" s="432">
        <f t="shared" si="9"/>
        <v>3.4167863587741936</v>
      </c>
      <c r="AA144" s="433">
        <f>C144*'4C2 Open-burning '!$C$10*'4C2 Open-burning '!$C$11*$C$5*C$15</f>
        <v>9.1553635464949809E-3</v>
      </c>
      <c r="AB144" s="433">
        <f>D144*'4C2 Open-burning '!$C$10*'4C2 Open-burning '!$C$11*$C$5*D$15</f>
        <v>9.5619095466043195E-3</v>
      </c>
      <c r="AC144" s="433">
        <f>E144*'4C2 Open-burning '!$C$10*'4C2 Open-burning '!$C$11*$C$5*E$15</f>
        <v>5.8762074926443789E-3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2.2973952422423144E-2</v>
      </c>
      <c r="AH144" s="434">
        <f t="shared" si="10"/>
        <v>4.7567433008166821E-2</v>
      </c>
    </row>
    <row r="145" spans="1:34">
      <c r="A145" s="138">
        <f>'Input data'!A140</f>
        <v>2040</v>
      </c>
      <c r="B145" s="100">
        <f>'Recycling - Case 2'!AP120</f>
        <v>4.4820733281477031E-2</v>
      </c>
      <c r="C145" s="473">
        <f>'Recycling - Case 2'!$AK120*'Recycling - Case 2'!BM120*'4C2 Open-burning '!$B145</f>
        <v>253.71351067170062</v>
      </c>
      <c r="D145" s="474">
        <f>'Recycling - Case 2'!$AK120*'Recycling - Case 2'!BN120*'4C2 Open-burning '!$B145</f>
        <v>264.97971680469095</v>
      </c>
      <c r="E145" s="474">
        <f>'Recycling - Case 2'!$AK120*'Recycling - Case 2'!BO120*'4C2 Open-burning '!$B145</f>
        <v>72.374004827168932</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282.95749351957534</v>
      </c>
      <c r="J145" s="663">
        <f t="shared" si="12"/>
        <v>874.0247258231359</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0.38232581286019568</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9.7484515667364082</v>
      </c>
      <c r="R145" s="1181">
        <f t="shared" si="8"/>
        <v>10.130777379596603</v>
      </c>
      <c r="S145" s="431">
        <f>C145*'4C2 Open-burning '!$C$9*'4C2 Open-burning '!$C$11*$C$5</f>
        <v>0.9894826916196322</v>
      </c>
      <c r="T145" s="431">
        <f>D145*'4C2 Open-burning '!$C$9*'4C2 Open-burning '!$C$11*$C$5</f>
        <v>1.0334208955382946</v>
      </c>
      <c r="U145" s="431">
        <f>E145*'4C2 Open-burning '!$C$9*'4C2 Open-burning '!$C$11*$C$5</f>
        <v>0.28225861882595882</v>
      </c>
      <c r="V145" s="431">
        <f>F145*'4C2 Open-burning '!$C$9*'4C2 Open-burning '!$C$11*$C$5</f>
        <v>0</v>
      </c>
      <c r="W145" s="431">
        <f>G145*'4C2 Open-burning '!$C$9*'4C2 Open-burning '!$C$11*$C$5</f>
        <v>0</v>
      </c>
      <c r="X145" s="431">
        <f>H145*'4C2 Open-burning '!$C$9*'4C2 Open-burning '!$C$11*$C$5</f>
        <v>0</v>
      </c>
      <c r="Y145" s="431">
        <f>I145*'4C2 Open-burning '!$C$9*'4C2 Open-burning '!$C$11*$C$5</f>
        <v>1.1035342247263438</v>
      </c>
      <c r="Z145" s="432">
        <f t="shared" si="9"/>
        <v>3.4086964307102301</v>
      </c>
      <c r="AA145" s="433">
        <f>C145*'4C2 Open-burning '!$C$10*'4C2 Open-burning '!$C$11*$C$5*C$15</f>
        <v>9.1336863841812218E-3</v>
      </c>
      <c r="AB145" s="433">
        <f>D145*'4C2 Open-burning '!$C$10*'4C2 Open-burning '!$C$11*$C$5*D$15</f>
        <v>9.5392698049688741E-3</v>
      </c>
      <c r="AC145" s="433">
        <f>E145*'4C2 Open-burning '!$C$10*'4C2 Open-burning '!$C$11*$C$5*E$15</f>
        <v>5.8622943910006838E-3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2.2919556975085603E-2</v>
      </c>
      <c r="AH145" s="434">
        <f t="shared" si="10"/>
        <v>4.7454807555236386E-2</v>
      </c>
    </row>
    <row r="146" spans="1:34">
      <c r="A146" s="138">
        <f>'Input data'!A141</f>
        <v>2041</v>
      </c>
      <c r="B146" s="100">
        <f>'Recycling - Case 2'!AP121</f>
        <v>4.4593956313696254E-2</v>
      </c>
      <c r="C146" s="473">
        <f>'Recycling - Case 2'!$AK121*'Recycling - Case 2'!BM121*'4C2 Open-burning '!$B146</f>
        <v>253.20804435794963</v>
      </c>
      <c r="D146" s="474">
        <f>'Recycling - Case 2'!$AK121*'Recycling - Case 2'!BN121*'4C2 Open-burning '!$B146</f>
        <v>264.45180514434043</v>
      </c>
      <c r="E146" s="474">
        <f>'Recycling - Case 2'!$AK121*'Recycling - Case 2'!BO121*'4C2 Open-burning '!$B146</f>
        <v>72.229816126557225</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282.3937652387325</v>
      </c>
      <c r="J146" s="663">
        <f t="shared" si="12"/>
        <v>872.2834308675798</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0.38156411586279626</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9.7290300000048102</v>
      </c>
      <c r="R146" s="1181">
        <f t="shared" si="8"/>
        <v>10.110594115867606</v>
      </c>
      <c r="S146" s="431">
        <f>C146*'4C2 Open-burning '!$C$9*'4C2 Open-burning '!$C$11*$C$5</f>
        <v>0.98751137299600344</v>
      </c>
      <c r="T146" s="431">
        <f>D146*'4C2 Open-burning '!$C$9*'4C2 Open-burning '!$C$11*$C$5</f>
        <v>1.0313620400629275</v>
      </c>
      <c r="U146" s="431">
        <f>E146*'4C2 Open-burning '!$C$9*'4C2 Open-burning '!$C$11*$C$5</f>
        <v>0.28169628289357318</v>
      </c>
      <c r="V146" s="431">
        <f>F146*'4C2 Open-burning '!$C$9*'4C2 Open-burning '!$C$11*$C$5</f>
        <v>0</v>
      </c>
      <c r="W146" s="431">
        <f>G146*'4C2 Open-burning '!$C$9*'4C2 Open-burning '!$C$11*$C$5</f>
        <v>0</v>
      </c>
      <c r="X146" s="431">
        <f>H146*'4C2 Open-burning '!$C$9*'4C2 Open-burning '!$C$11*$C$5</f>
        <v>0</v>
      </c>
      <c r="Y146" s="431">
        <f>I146*'4C2 Open-burning '!$C$9*'4C2 Open-burning '!$C$11*$C$5</f>
        <v>1.1013356844310567</v>
      </c>
      <c r="Z146" s="432">
        <f t="shared" si="9"/>
        <v>3.4019053803835613</v>
      </c>
      <c r="AA146" s="433">
        <f>C146*'4C2 Open-burning '!$C$10*'4C2 Open-burning '!$C$11*$C$5*C$15</f>
        <v>9.1154895968861872E-3</v>
      </c>
      <c r="AB146" s="433">
        <f>D146*'4C2 Open-burning '!$C$10*'4C2 Open-burning '!$C$11*$C$5*D$15</f>
        <v>9.5202649851962549E-3</v>
      </c>
      <c r="AC146" s="433">
        <f>E146*'4C2 Open-burning '!$C$10*'4C2 Open-burning '!$C$11*$C$5*E$15</f>
        <v>5.8506151062511355E-3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2.2873894984337329E-2</v>
      </c>
      <c r="AH146" s="434">
        <f t="shared" si="10"/>
        <v>4.7360264672670904E-2</v>
      </c>
    </row>
    <row r="147" spans="1:34">
      <c r="A147" s="138">
        <f>'Input data'!A142</f>
        <v>2042</v>
      </c>
      <c r="B147" s="100">
        <f>'Recycling - Case 2'!AP122</f>
        <v>4.4368557891718778E-2</v>
      </c>
      <c r="C147" s="473">
        <f>'Recycling - Case 2'!$AK122*'Recycling - Case 2'!BM122*'4C2 Open-burning '!$B147</f>
        <v>252.70768958160568</v>
      </c>
      <c r="D147" s="474">
        <f>'Recycling - Case 2'!$AK122*'Recycling - Case 2'!BN122*'4C2 Open-burning '!$B147</f>
        <v>263.92923200037785</v>
      </c>
      <c r="E147" s="474">
        <f>'Recycling - Case 2'!$AK122*'Recycling - Case 2'!BO122*'4C2 Open-burning '!$B147</f>
        <v>72.087085536836</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281.83573767051189</v>
      </c>
      <c r="J147" s="663">
        <f t="shared" si="12"/>
        <v>870.55974478933138</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0.3808101215403113</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9.7098048342244745</v>
      </c>
      <c r="R147" s="1181">
        <f t="shared" si="8"/>
        <v>10.090614955764785</v>
      </c>
      <c r="S147" s="431">
        <f>C147*'4C2 Open-burning '!$C$9*'4C2 Open-burning '!$C$11*$C$5</f>
        <v>0.98555998936826206</v>
      </c>
      <c r="T147" s="431">
        <f>D147*'4C2 Open-burning '!$C$9*'4C2 Open-burning '!$C$11*$C$5</f>
        <v>1.0293240048014736</v>
      </c>
      <c r="U147" s="431">
        <f>E147*'4C2 Open-burning '!$C$9*'4C2 Open-burning '!$C$11*$C$5</f>
        <v>0.2811396335936604</v>
      </c>
      <c r="V147" s="431">
        <f>F147*'4C2 Open-burning '!$C$9*'4C2 Open-burning '!$C$11*$C$5</f>
        <v>0</v>
      </c>
      <c r="W147" s="431">
        <f>G147*'4C2 Open-burning '!$C$9*'4C2 Open-burning '!$C$11*$C$5</f>
        <v>0</v>
      </c>
      <c r="X147" s="431">
        <f>H147*'4C2 Open-burning '!$C$9*'4C2 Open-burning '!$C$11*$C$5</f>
        <v>0</v>
      </c>
      <c r="Y147" s="431">
        <f>I147*'4C2 Open-burning '!$C$9*'4C2 Open-burning '!$C$11*$C$5</f>
        <v>1.0991593769149963</v>
      </c>
      <c r="Z147" s="432">
        <f t="shared" si="9"/>
        <v>3.3951830046783922</v>
      </c>
      <c r="AA147" s="433">
        <f>C147*'4C2 Open-burning '!$C$10*'4C2 Open-burning '!$C$11*$C$5*C$15</f>
        <v>9.097476824937804E-3</v>
      </c>
      <c r="AB147" s="433">
        <f>D147*'4C2 Open-burning '!$C$10*'4C2 Open-burning '!$C$11*$C$5*D$15</f>
        <v>9.5014523520136028E-3</v>
      </c>
      <c r="AC147" s="433">
        <f>E147*'4C2 Open-burning '!$C$10*'4C2 Open-burning '!$C$11*$C$5*E$15</f>
        <v>5.8390539284837147E-3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2.2828694751311461E-2</v>
      </c>
      <c r="AH147" s="434">
        <f t="shared" si="10"/>
        <v>4.7266677856746583E-2</v>
      </c>
    </row>
    <row r="148" spans="1:34">
      <c r="A148" s="138">
        <f>'Input data'!A143</f>
        <v>2043</v>
      </c>
      <c r="B148" s="100">
        <f>'Recycling - Case 2'!AP123</f>
        <v>4.414452242519154E-2</v>
      </c>
      <c r="C148" s="473">
        <f>'Recycling - Case 2'!$AK123*'Recycling - Case 2'!BM123*'4C2 Open-burning '!$B148</f>
        <v>252.21237864369809</v>
      </c>
      <c r="D148" s="474">
        <f>'Recycling - Case 2'!$AK123*'Recycling - Case 2'!BN123*'4C2 Open-burning '!$B148</f>
        <v>263.41192666764431</v>
      </c>
      <c r="E148" s="474">
        <f>'Recycling - Case 2'!$AK123*'Recycling - Case 2'!BO123*'4C2 Open-burning '!$B148</f>
        <v>71.945793746279918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281.28333531270243</v>
      </c>
      <c r="J148" s="663">
        <f t="shared" si="12"/>
        <v>868.85343437032475</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0.38006372787584813</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9.6907734681932229</v>
      </c>
      <c r="R148" s="1181">
        <f t="shared" si="8"/>
        <v>10.070837196069071</v>
      </c>
      <c r="S148" s="431">
        <f>C148*'4C2 Open-burning '!$C$9*'4C2 Open-burning '!$C$11*$C$5</f>
        <v>0.98362827671042241</v>
      </c>
      <c r="T148" s="431">
        <f>D148*'4C2 Open-burning '!$C$9*'4C2 Open-burning '!$C$11*$C$5</f>
        <v>1.0273065140038129</v>
      </c>
      <c r="U148" s="431">
        <f>E148*'4C2 Open-burning '!$C$9*'4C2 Open-burning '!$C$11*$C$5</f>
        <v>0.28058859561049165</v>
      </c>
      <c r="V148" s="431">
        <f>F148*'4C2 Open-burning '!$C$9*'4C2 Open-burning '!$C$11*$C$5</f>
        <v>0</v>
      </c>
      <c r="W148" s="431">
        <f>G148*'4C2 Open-burning '!$C$9*'4C2 Open-burning '!$C$11*$C$5</f>
        <v>0</v>
      </c>
      <c r="X148" s="431">
        <f>H148*'4C2 Open-burning '!$C$9*'4C2 Open-burning '!$C$11*$C$5</f>
        <v>0</v>
      </c>
      <c r="Y148" s="431">
        <f>I148*'4C2 Open-burning '!$C$9*'4C2 Open-burning '!$C$11*$C$5</f>
        <v>1.0970050077195395</v>
      </c>
      <c r="Z148" s="432">
        <f t="shared" si="9"/>
        <v>3.3885283940442661</v>
      </c>
      <c r="AA148" s="433">
        <f>C148*'4C2 Open-burning '!$C$10*'4C2 Open-burning '!$C$11*$C$5*C$15</f>
        <v>9.0796456311731302E-3</v>
      </c>
      <c r="AB148" s="433">
        <f>D148*'4C2 Open-burning '!$C$10*'4C2 Open-burning '!$C$11*$C$5*D$15</f>
        <v>9.4828293600351943E-3</v>
      </c>
      <c r="AC148" s="433">
        <f>E148*'4C2 Open-burning '!$C$10*'4C2 Open-burning '!$C$11*$C$5*E$15</f>
        <v>5.8276092934486743E-3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2.2783950160328897E-2</v>
      </c>
      <c r="AH148" s="434">
        <f t="shared" si="10"/>
        <v>4.7174034444985899E-2</v>
      </c>
    </row>
    <row r="149" spans="1:34">
      <c r="A149" s="138">
        <f>'Input data'!A144</f>
        <v>2044</v>
      </c>
      <c r="B149" s="100">
        <f>'Recycling - Case 2'!AP124</f>
        <v>4.3921834607905885E-2</v>
      </c>
      <c r="C149" s="473">
        <f>'Recycling - Case 2'!$AK124*'Recycling - Case 2'!BM124*'4C2 Open-burning '!$B149</f>
        <v>251.7220450118551</v>
      </c>
      <c r="D149" s="474">
        <f>'Recycling - Case 2'!$AK124*'Recycling - Case 2'!BN124*'4C2 Open-burning '!$B149</f>
        <v>262.8998196593829</v>
      </c>
      <c r="E149" s="474">
        <f>'Recycling - Case 2'!$AK124*'Recycling - Case 2'!BO124*'4C2 Open-burning '!$B149</f>
        <v>71.805921775946217</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280.73648396415848</v>
      </c>
      <c r="J149" s="663">
        <f t="shared" si="12"/>
        <v>867.16427041134261</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0.3793248346104845</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9.6719333455331871</v>
      </c>
      <c r="R149" s="1181">
        <f t="shared" si="8"/>
        <v>10.051258180143671</v>
      </c>
      <c r="S149" s="431">
        <f>C149*'4C2 Open-burning '!$C$9*'4C2 Open-burning '!$C$11*$C$5</f>
        <v>0.98171597554623469</v>
      </c>
      <c r="T149" s="431">
        <f>D149*'4C2 Open-burning '!$C$9*'4C2 Open-burning '!$C$11*$C$5</f>
        <v>1.0253092966715933</v>
      </c>
      <c r="U149" s="431">
        <f>E149*'4C2 Open-burning '!$C$9*'4C2 Open-burning '!$C$11*$C$5</f>
        <v>0.28004309492619023</v>
      </c>
      <c r="V149" s="431">
        <f>F149*'4C2 Open-burning '!$C$9*'4C2 Open-burning '!$C$11*$C$5</f>
        <v>0</v>
      </c>
      <c r="W149" s="431">
        <f>G149*'4C2 Open-burning '!$C$9*'4C2 Open-burning '!$C$11*$C$5</f>
        <v>0</v>
      </c>
      <c r="X149" s="431">
        <f>H149*'4C2 Open-burning '!$C$9*'4C2 Open-burning '!$C$11*$C$5</f>
        <v>0</v>
      </c>
      <c r="Y149" s="431">
        <f>I149*'4C2 Open-burning '!$C$9*'4C2 Open-burning '!$C$11*$C$5</f>
        <v>1.0948722874602179</v>
      </c>
      <c r="Z149" s="432">
        <f t="shared" si="9"/>
        <v>3.3819406546042359</v>
      </c>
      <c r="AA149" s="433">
        <f>C149*'4C2 Open-burning '!$C$10*'4C2 Open-burning '!$C$11*$C$5*C$15</f>
        <v>9.061993620426782E-3</v>
      </c>
      <c r="AB149" s="433">
        <f>D149*'4C2 Open-burning '!$C$10*'4C2 Open-burning '!$C$11*$C$5*D$15</f>
        <v>9.4643935077377856E-3</v>
      </c>
      <c r="AC149" s="433">
        <f>E149*'4C2 Open-burning '!$C$10*'4C2 Open-burning '!$C$11*$C$5*E$15</f>
        <v>5.8162796638516435E-3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2.2739655201096838E-2</v>
      </c>
      <c r="AH149" s="434">
        <f t="shared" si="10"/>
        <v>4.7082321993113047E-2</v>
      </c>
    </row>
    <row r="150" spans="1:34">
      <c r="A150" s="138">
        <f>'Input data'!A145</f>
        <v>2045</v>
      </c>
      <c r="B150" s="100">
        <f>'Recycling - Case 2'!AP125</f>
        <v>4.3700479411766198E-2</v>
      </c>
      <c r="C150" s="473">
        <f>'Recycling - Case 2'!$AK125*'Recycling - Case 2'!BM125*'4C2 Open-burning '!$B150</f>
        <v>251.2366232952497</v>
      </c>
      <c r="D150" s="474">
        <f>'Recycling - Case 2'!$AK125*'Recycling - Case 2'!BN125*'4C2 Open-burning '!$B150</f>
        <v>262.39284268107218</v>
      </c>
      <c r="E150" s="474">
        <f>'Recycling - Case 2'!$AK125*'Recycling - Case 2'!BO125*'4C2 Open-burning '!$B150</f>
        <v>71.667450972527831</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280.19511069685791</v>
      </c>
      <c r="J150" s="663">
        <f t="shared" si="12"/>
        <v>865.49202764570759</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0.37859334320551441</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9.6532819537281469</v>
      </c>
      <c r="R150" s="1181">
        <f t="shared" si="8"/>
        <v>10.031875296933661</v>
      </c>
      <c r="S150" s="431">
        <f>C150*'4C2 Open-burning '!$C$9*'4C2 Open-burning '!$C$11*$C$5</f>
        <v>0.9798228308514737</v>
      </c>
      <c r="T150" s="431">
        <f>D150*'4C2 Open-burning '!$C$9*'4C2 Open-burning '!$C$11*$C$5</f>
        <v>1.0233320864561815</v>
      </c>
      <c r="U150" s="431">
        <f>E150*'4C2 Open-burning '!$C$9*'4C2 Open-burning '!$C$11*$C$5</f>
        <v>0.27950305879285853</v>
      </c>
      <c r="V150" s="431">
        <f>F150*'4C2 Open-burning '!$C$9*'4C2 Open-burning '!$C$11*$C$5</f>
        <v>0</v>
      </c>
      <c r="W150" s="431">
        <f>G150*'4C2 Open-burning '!$C$9*'4C2 Open-burning '!$C$11*$C$5</f>
        <v>0</v>
      </c>
      <c r="X150" s="431">
        <f>H150*'4C2 Open-burning '!$C$9*'4C2 Open-burning '!$C$11*$C$5</f>
        <v>0</v>
      </c>
      <c r="Y150" s="431">
        <f>I150*'4C2 Open-burning '!$C$9*'4C2 Open-burning '!$C$11*$C$5</f>
        <v>1.0927609317177456</v>
      </c>
      <c r="Z150" s="432">
        <f t="shared" si="9"/>
        <v>3.3754189078182595</v>
      </c>
      <c r="AA150" s="433">
        <f>C150*'4C2 Open-burning '!$C$10*'4C2 Open-burning '!$C$11*$C$5*C$15</f>
        <v>9.0445184386289887E-3</v>
      </c>
      <c r="AB150" s="433">
        <f>D150*'4C2 Open-burning '!$C$10*'4C2 Open-burning '!$C$11*$C$5*D$15</f>
        <v>9.4461423365185971E-3</v>
      </c>
      <c r="AC150" s="433">
        <f>E150*'4C2 Open-burning '!$C$10*'4C2 Open-burning '!$C$11*$C$5*E$15</f>
        <v>5.8050635287747532E-3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2.269580396644549E-2</v>
      </c>
      <c r="AH150" s="434">
        <f t="shared" si="10"/>
        <v>4.699152827036783E-2</v>
      </c>
    </row>
    <row r="151" spans="1:34">
      <c r="A151" s="138">
        <f>'Input data'!A146</f>
        <v>2046</v>
      </c>
      <c r="B151" s="100">
        <f>'Recycling - Case 2'!AP126</f>
        <v>4.3519432813026476E-2</v>
      </c>
      <c r="C151" s="473">
        <f>'Recycling - Case 2'!$AK126*'Recycling - Case 2'!BM126*'4C2 Open-burning '!$B151</f>
        <v>250.84106476572728</v>
      </c>
      <c r="D151" s="474">
        <f>'Recycling - Case 2'!$AK126*'Recycling - Case 2'!BN126*'4C2 Open-burning '!$B151</f>
        <v>261.97971928510077</v>
      </c>
      <c r="E151" s="474">
        <f>'Recycling - Case 2'!$AK126*'Recycling - Case 2'!BO126*'4C2 Open-burning '!$B151</f>
        <v>71.554614431622738</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279.75395858888533</v>
      </c>
      <c r="J151" s="663">
        <f t="shared" si="12"/>
        <v>864.12935707133613</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0.37799726838106751</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9.638083381304277</v>
      </c>
      <c r="R151" s="1181">
        <f t="shared" si="8"/>
        <v>10.016080649685344</v>
      </c>
      <c r="S151" s="431">
        <f>C151*'4C2 Open-burning '!$C$9*'4C2 Open-burning '!$C$11*$C$5</f>
        <v>0.97828015258633638</v>
      </c>
      <c r="T151" s="431">
        <f>D151*'4C2 Open-burning '!$C$9*'4C2 Open-burning '!$C$11*$C$5</f>
        <v>1.021720905211893</v>
      </c>
      <c r="U151" s="431">
        <f>E151*'4C2 Open-burning '!$C$9*'4C2 Open-burning '!$C$11*$C$5</f>
        <v>0.2790629962833287</v>
      </c>
      <c r="V151" s="431">
        <f>F151*'4C2 Open-burning '!$C$9*'4C2 Open-burning '!$C$11*$C$5</f>
        <v>0</v>
      </c>
      <c r="W151" s="431">
        <f>G151*'4C2 Open-burning '!$C$9*'4C2 Open-burning '!$C$11*$C$5</f>
        <v>0</v>
      </c>
      <c r="X151" s="431">
        <f>H151*'4C2 Open-burning '!$C$9*'4C2 Open-burning '!$C$11*$C$5</f>
        <v>0</v>
      </c>
      <c r="Y151" s="431">
        <f>I151*'4C2 Open-burning '!$C$9*'4C2 Open-burning '!$C$11*$C$5</f>
        <v>1.0910404384966528</v>
      </c>
      <c r="Z151" s="432">
        <f t="shared" si="9"/>
        <v>3.3701044925782111</v>
      </c>
      <c r="AA151" s="433">
        <f>C151*'4C2 Open-burning '!$C$10*'4C2 Open-burning '!$C$11*$C$5*C$15</f>
        <v>9.0302783315661835E-3</v>
      </c>
      <c r="AB151" s="433">
        <f>D151*'4C2 Open-burning '!$C$10*'4C2 Open-burning '!$C$11*$C$5*D$15</f>
        <v>9.4312698942636275E-3</v>
      </c>
      <c r="AC151" s="433">
        <f>E151*'4C2 Open-burning '!$C$10*'4C2 Open-burning '!$C$11*$C$5*E$15</f>
        <v>5.7959237689614411E-3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2.2660070645699713E-2</v>
      </c>
      <c r="AH151" s="434">
        <f t="shared" si="10"/>
        <v>4.6917542640490965E-2</v>
      </c>
    </row>
    <row r="152" spans="1:34">
      <c r="A152" s="138">
        <f>'Input data'!A147</f>
        <v>2047</v>
      </c>
      <c r="B152" s="100">
        <f>'Recycling - Case 2'!AP127</f>
        <v>4.3339269389548955E-2</v>
      </c>
      <c r="C152" s="473">
        <f>'Recycling - Case 2'!$AK127*'Recycling - Case 2'!BM127*'4C2 Open-burning '!$B152</f>
        <v>250.44874940831929</v>
      </c>
      <c r="D152" s="474">
        <f>'Recycling - Case 2'!$AK127*'Recycling - Case 2'!BN127*'4C2 Open-burning '!$B152</f>
        <v>261.56998307503892</v>
      </c>
      <c r="E152" s="474">
        <f>'Recycling - Case 2'!$AK127*'Recycling - Case 2'!BO127*'4C2 Open-burning '!$B152</f>
        <v>71.442703034016645</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279.31642347336265</v>
      </c>
      <c r="J152" s="663">
        <f t="shared" si="12"/>
        <v>862.77785899073751</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0.37740608075561771</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9.623009421504289</v>
      </c>
      <c r="R152" s="1181">
        <f t="shared" si="8"/>
        <v>10.000415502259907</v>
      </c>
      <c r="S152" s="431">
        <f>C152*'4C2 Open-burning '!$C$9*'4C2 Open-burning '!$C$11*$C$5</f>
        <v>0.9767501226924451</v>
      </c>
      <c r="T152" s="431">
        <f>D152*'4C2 Open-burning '!$C$9*'4C2 Open-burning '!$C$11*$C$5</f>
        <v>1.0201229339926516</v>
      </c>
      <c r="U152" s="431">
        <f>E152*'4C2 Open-burning '!$C$9*'4C2 Open-burning '!$C$11*$C$5</f>
        <v>0.27862654183266489</v>
      </c>
      <c r="V152" s="431">
        <f>F152*'4C2 Open-burning '!$C$9*'4C2 Open-burning '!$C$11*$C$5</f>
        <v>0</v>
      </c>
      <c r="W152" s="431">
        <f>G152*'4C2 Open-burning '!$C$9*'4C2 Open-burning '!$C$11*$C$5</f>
        <v>0</v>
      </c>
      <c r="X152" s="431">
        <f>H152*'4C2 Open-burning '!$C$9*'4C2 Open-burning '!$C$11*$C$5</f>
        <v>0</v>
      </c>
      <c r="Y152" s="431">
        <f>I152*'4C2 Open-burning '!$C$9*'4C2 Open-burning '!$C$11*$C$5</f>
        <v>1.0893340515461141</v>
      </c>
      <c r="Z152" s="432">
        <f t="shared" si="9"/>
        <v>3.3648336500638756</v>
      </c>
      <c r="AA152" s="433">
        <f>C152*'4C2 Open-burning '!$C$10*'4C2 Open-burning '!$C$11*$C$5*C$15</f>
        <v>9.0161549786994932E-3</v>
      </c>
      <c r="AB152" s="433">
        <f>D152*'4C2 Open-burning '!$C$10*'4C2 Open-burning '!$C$11*$C$5*D$15</f>
        <v>9.4165193907014E-3</v>
      </c>
      <c r="AC152" s="433">
        <f>E152*'4C2 Open-burning '!$C$10*'4C2 Open-burning '!$C$11*$C$5*E$15</f>
        <v>5.7868589457553479E-3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2.2624630301342374E-2</v>
      </c>
      <c r="AH152" s="434">
        <f t="shared" si="10"/>
        <v>4.6844163616498617E-2</v>
      </c>
    </row>
    <row r="153" spans="1:34">
      <c r="A153" s="138">
        <f>'Input data'!A148</f>
        <v>2048</v>
      </c>
      <c r="B153" s="100">
        <f>'Recycling - Case 2'!AP128</f>
        <v>4.3159981189882027E-2</v>
      </c>
      <c r="C153" s="473">
        <f>'Recycling - Case 2'!$AK128*'Recycling - Case 2'!BM128*'4C2 Open-burning '!$B153</f>
        <v>250.05964252346925</v>
      </c>
      <c r="D153" s="474">
        <f>'Recycling - Case 2'!$AK128*'Recycling - Case 2'!BN128*'4C2 Open-burning '!$B153</f>
        <v>261.16359781048862</v>
      </c>
      <c r="E153" s="474">
        <f>'Recycling - Case 2'!$AK128*'Recycling - Case 2'!BO128*'4C2 Open-burning '!$B153</f>
        <v>71.331706881356652</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278.88246665113081</v>
      </c>
      <c r="J153" s="663">
        <f t="shared" si="12"/>
        <v>861.43741386644535</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0.37681972803972991</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9.6080587410647578</v>
      </c>
      <c r="R153" s="1181">
        <f t="shared" ref="R153:R155" si="13">SUM(K153:Q153)</f>
        <v>9.984878469104487</v>
      </c>
      <c r="S153" s="431">
        <f>C153*'4C2 Open-burning '!$C$9*'4C2 Open-burning '!$C$11*$C$5</f>
        <v>0.97523260584153004</v>
      </c>
      <c r="T153" s="431">
        <f>D153*'4C2 Open-burning '!$C$9*'4C2 Open-burning '!$C$11*$C$5</f>
        <v>1.0185380314609056</v>
      </c>
      <c r="U153" s="431">
        <f>E153*'4C2 Open-burning '!$C$9*'4C2 Open-burning '!$C$11*$C$5</f>
        <v>0.27819365683729091</v>
      </c>
      <c r="V153" s="431">
        <f>F153*'4C2 Open-burning '!$C$9*'4C2 Open-burning '!$C$11*$C$5</f>
        <v>0</v>
      </c>
      <c r="W153" s="431">
        <f>G153*'4C2 Open-burning '!$C$9*'4C2 Open-burning '!$C$11*$C$5</f>
        <v>0</v>
      </c>
      <c r="X153" s="431">
        <f>H153*'4C2 Open-burning '!$C$9*'4C2 Open-burning '!$C$11*$C$5</f>
        <v>0</v>
      </c>
      <c r="Y153" s="431">
        <f>I153*'4C2 Open-burning '!$C$9*'4C2 Open-burning '!$C$11*$C$5</f>
        <v>1.0876416199394101</v>
      </c>
      <c r="Z153" s="432">
        <f t="shared" ref="Z153:Z155" si="14">SUM(S153:Y153)</f>
        <v>3.3596059140791366</v>
      </c>
      <c r="AA153" s="433">
        <f>C153*'4C2 Open-burning '!$C$10*'4C2 Open-burning '!$C$11*$C$5*C$15</f>
        <v>9.0021471308448908E-3</v>
      </c>
      <c r="AB153" s="433">
        <f>D153*'4C2 Open-burning '!$C$10*'4C2 Open-burning '!$C$11*$C$5*D$15</f>
        <v>9.4018895211775907E-3</v>
      </c>
      <c r="AC153" s="433">
        <f>E153*'4C2 Open-burning '!$C$10*'4C2 Open-burning '!$C$11*$C$5*E$15</f>
        <v>5.7778682573898883E-3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2.2589479798741593E-2</v>
      </c>
      <c r="AH153" s="434">
        <f t="shared" ref="AH153:AH155" si="15">SUM(AA153:AG153)</f>
        <v>4.6771384708153965E-2</v>
      </c>
    </row>
    <row r="154" spans="1:34">
      <c r="A154" s="138">
        <f>'Input data'!A149</f>
        <v>2049</v>
      </c>
      <c r="B154" s="100">
        <f>'Recycling - Case 2'!AP129</f>
        <v>4.2981560380265717E-2</v>
      </c>
      <c r="C154" s="473">
        <f>'Recycling - Case 2'!$AK129*'Recycling - Case 2'!BM129*'4C2 Open-burning '!$B154</f>
        <v>249.67370989436483</v>
      </c>
      <c r="D154" s="474">
        <f>'Recycling - Case 2'!$AK129*'Recycling - Case 2'!BN129*'4C2 Open-burning '!$B154</f>
        <v>260.76052775523203</v>
      </c>
      <c r="E154" s="474">
        <f>'Recycling - Case 2'!$AK129*'Recycling - Case 2'!BO129*'4C2 Open-burning '!$B154</f>
        <v>71.221616212996821</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278.45204996141769</v>
      </c>
      <c r="J154" s="663">
        <f t="shared" si="12"/>
        <v>860.10790382401137</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0.37623815867142552</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9.5932300252707616</v>
      </c>
      <c r="R154" s="1181">
        <f t="shared" si="13"/>
        <v>9.9694681839421868</v>
      </c>
      <c r="S154" s="431">
        <f>C154*'4C2 Open-burning '!$C$9*'4C2 Open-burning '!$C$11*$C$5</f>
        <v>0.97372746858802284</v>
      </c>
      <c r="T154" s="431">
        <f>D154*'4C2 Open-burning '!$C$9*'4C2 Open-burning '!$C$11*$C$5</f>
        <v>1.0169660582454048</v>
      </c>
      <c r="U154" s="431">
        <f>E154*'4C2 Open-burning '!$C$9*'4C2 Open-burning '!$C$11*$C$5</f>
        <v>0.27776430323068757</v>
      </c>
      <c r="V154" s="431">
        <f>F154*'4C2 Open-burning '!$C$9*'4C2 Open-burning '!$C$11*$C$5</f>
        <v>0</v>
      </c>
      <c r="W154" s="431">
        <f>G154*'4C2 Open-burning '!$C$9*'4C2 Open-burning '!$C$11*$C$5</f>
        <v>0</v>
      </c>
      <c r="X154" s="431">
        <f>H154*'4C2 Open-burning '!$C$9*'4C2 Open-burning '!$C$11*$C$5</f>
        <v>0</v>
      </c>
      <c r="Y154" s="431">
        <f>I154*'4C2 Open-burning '!$C$9*'4C2 Open-burning '!$C$11*$C$5</f>
        <v>1.0859629948495289</v>
      </c>
      <c r="Z154" s="432">
        <f t="shared" si="14"/>
        <v>3.3544208249136438</v>
      </c>
      <c r="AA154" s="433">
        <f>C154*'4C2 Open-burning '!$C$10*'4C2 Open-burning '!$C$11*$C$5*C$15</f>
        <v>8.9882535561971334E-3</v>
      </c>
      <c r="AB154" s="433">
        <f>D154*'4C2 Open-burning '!$C$10*'4C2 Open-burning '!$C$11*$C$5*D$15</f>
        <v>9.3873789991883536E-3</v>
      </c>
      <c r="AC154" s="433">
        <f>E154*'4C2 Open-burning '!$C$10*'4C2 Open-burning '!$C$11*$C$5*E$15</f>
        <v>5.7689509132527426E-3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2.2554616046874833E-2</v>
      </c>
      <c r="AH154" s="434">
        <f t="shared" si="15"/>
        <v>4.669919951551306E-2</v>
      </c>
    </row>
    <row r="155" spans="1:34" ht="15" thickBot="1">
      <c r="A155" s="138">
        <f>'Input data'!A150</f>
        <v>2050</v>
      </c>
      <c r="B155" s="100">
        <f>'Recycling - Case 2'!AP130</f>
        <v>4.2803999242601289E-2</v>
      </c>
      <c r="C155" s="598">
        <f>'Recycling - Case 2'!$AK130*'Recycling - Case 2'!BM130*'4C2 Open-burning '!$B155</f>
        <v>249.29091777856027</v>
      </c>
      <c r="D155" s="595">
        <f>'Recycling - Case 2'!$AK130*'Recycling - Case 2'!BN130*'4C2 Open-burning '!$B155</f>
        <v>260.3607376684825</v>
      </c>
      <c r="E155" s="595">
        <f>'Recycling - Case 2'!$AK130*'Recycling - Case 2'!BO130*'4C2 Open-burning '!$B155</f>
        <v>71.112421403608479</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278.0251357724951</v>
      </c>
      <c r="J155" s="814">
        <f t="shared" si="12"/>
        <v>858.78921262314634</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0.37566132180355827</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9.5785219776340007</v>
      </c>
      <c r="R155" s="1182">
        <f t="shared" si="13"/>
        <v>9.9541832994375596</v>
      </c>
      <c r="S155" s="431">
        <f>C155*'4C2 Open-burning '!$C$9*'4C2 Open-burning '!$C$11*$C$5</f>
        <v>0.97223457933638491</v>
      </c>
      <c r="T155" s="431">
        <f>D155*'4C2 Open-burning '!$C$9*'4C2 Open-burning '!$C$11*$C$5</f>
        <v>1.0154068769070816</v>
      </c>
      <c r="U155" s="431">
        <f>E155*'4C2 Open-burning '!$C$9*'4C2 Open-burning '!$C$11*$C$5</f>
        <v>0.27733844347407305</v>
      </c>
      <c r="V155" s="431">
        <f>F155*'4C2 Open-burning '!$C$9*'4C2 Open-burning '!$C$11*$C$5</f>
        <v>0</v>
      </c>
      <c r="W155" s="431">
        <f>G155*'4C2 Open-burning '!$C$9*'4C2 Open-burning '!$C$11*$C$5</f>
        <v>0</v>
      </c>
      <c r="X155" s="431">
        <f>H155*'4C2 Open-burning '!$C$9*'4C2 Open-burning '!$C$11*$C$5</f>
        <v>0</v>
      </c>
      <c r="Y155" s="431">
        <f>I155*'4C2 Open-burning '!$C$9*'4C2 Open-burning '!$C$11*$C$5</f>
        <v>1.0842980295127309</v>
      </c>
      <c r="Z155" s="432">
        <f t="shared" si="14"/>
        <v>3.3492779292302703</v>
      </c>
      <c r="AA155" s="433">
        <f>C155*'4C2 Open-burning '!$C$10*'4C2 Open-burning '!$C$11*$C$5*C$15</f>
        <v>8.9744730400281702E-3</v>
      </c>
      <c r="AB155" s="433">
        <f>D155*'4C2 Open-burning '!$C$10*'4C2 Open-burning '!$C$11*$C$5*D$15</f>
        <v>9.3729865560653707E-3</v>
      </c>
      <c r="AC155" s="433">
        <f>E155*'4C2 Open-burning '!$C$10*'4C2 Open-burning '!$C$11*$C$5*E$15</f>
        <v>5.7601061336922865E-3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2.2520035997572106E-2</v>
      </c>
      <c r="AH155" s="434">
        <f t="shared" si="15"/>
        <v>4.6627601727357929E-2</v>
      </c>
    </row>
    <row r="156" spans="1:34" ht="21.6"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0.11516499941226198</v>
      </c>
      <c r="C159" s="473">
        <f>$B159*'Recycling - Case 3'!$AK100*'Recycling - Case 3'!BM100</f>
        <v>788.11293543078432</v>
      </c>
      <c r="D159" s="474">
        <f>$B159*'Recycling - Case 3'!$AK100*'Recycling - Case 3'!BN100</f>
        <v>823.10926953665137</v>
      </c>
      <c r="E159" s="474">
        <f>$B159*'Recycling - Case 3'!$AK100*'Recycling - Case 3'!BO100</f>
        <v>224.81612919317038</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878.95382563370708</v>
      </c>
      <c r="J159" s="663">
        <f t="shared" si="19"/>
        <v>2714.992159794313</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1.1876226767210096</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30.281717200732473</v>
      </c>
      <c r="R159" s="1181">
        <f t="shared" si="16"/>
        <v>31.469339877453482</v>
      </c>
      <c r="S159" s="430">
        <f>C159*'4C2 Open-burning '!$C$9*'4C2 Open-burning '!$C$11*$C$5</f>
        <v>3.073640448180059</v>
      </c>
      <c r="T159" s="431">
        <f>D159*'4C2 Open-burning '!$C$9*'4C2 Open-burning '!$C$11*$C$5</f>
        <v>3.2101261511929402</v>
      </c>
      <c r="U159" s="431">
        <f>E159*'4C2 Open-burning '!$C$9*'4C2 Open-burning '!$C$11*$C$5</f>
        <v>0.87678290385336444</v>
      </c>
      <c r="V159" s="431">
        <f>F159*'4C2 Open-burning '!$C$9*'4C2 Open-burning '!$C$11*$C$5</f>
        <v>0</v>
      </c>
      <c r="W159" s="431">
        <f>G159*'4C2 Open-burning '!$C$9*'4C2 Open-burning '!$C$11*$C$5</f>
        <v>0</v>
      </c>
      <c r="X159" s="431">
        <f>H159*'4C2 Open-burning '!$C$9*'4C2 Open-burning '!$C$11*$C$5</f>
        <v>0</v>
      </c>
      <c r="Y159" s="431">
        <f>I159*'4C2 Open-burning '!$C$9*'4C2 Open-burning '!$C$11*$C$5</f>
        <v>3.4279199199714574</v>
      </c>
      <c r="Z159" s="432">
        <f t="shared" si="17"/>
        <v>10.588469423197822</v>
      </c>
      <c r="AA159" s="1333">
        <f>C159*'4C2 Open-burning '!$C$10*'4C2 Open-burning '!$C$11*$C$5*C$15</f>
        <v>2.8372065675508235E-2</v>
      </c>
      <c r="AB159" s="433">
        <f>D159*'4C2 Open-burning '!$C$10*'4C2 Open-burning '!$C$11*$C$5*D$15</f>
        <v>2.9631933703319447E-2</v>
      </c>
      <c r="AC159" s="433">
        <f>E159*'4C2 Open-burning '!$C$10*'4C2 Open-burning '!$C$11*$C$5*E$15</f>
        <v>1.82101064646468E-2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7.1195259876330269E-2</v>
      </c>
      <c r="AH159" s="434">
        <f t="shared" si="18"/>
        <v>0.14740936571980473</v>
      </c>
    </row>
    <row r="160" spans="1:34">
      <c r="A160" s="138">
        <f>'Input data'!A121</f>
        <v>2021</v>
      </c>
      <c r="B160" s="100">
        <f>'Recycling - Case 3'!AP101</f>
        <v>0.108632640688443</v>
      </c>
      <c r="C160" s="473">
        <f>$B160*'Recycling - Case 3'!$AK101*'Recycling - Case 3'!BM101</f>
        <v>724.54347859846757</v>
      </c>
      <c r="D160" s="474">
        <f>$B160*'Recycling - Case 3'!$AK101*'Recycling - Case 3'!BN101</f>
        <v>756.71699651871234</v>
      </c>
      <c r="E160" s="474">
        <f>$B160*'Recycling - Case 3'!$AK101*'Recycling - Case 3'!BO101</f>
        <v>206.68238391700376</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808.05711176911302</v>
      </c>
      <c r="J160" s="663">
        <f t="shared" si="19"/>
        <v>2495.9999708032965</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1.0918286285753207</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27.83918361466948</v>
      </c>
      <c r="R160" s="1181">
        <f t="shared" si="16"/>
        <v>28.931012243244801</v>
      </c>
      <c r="S160" s="430">
        <f>C160*'4C2 Open-burning '!$C$9*'4C2 Open-burning '!$C$11*$C$5</f>
        <v>2.8257195665340236</v>
      </c>
      <c r="T160" s="431">
        <f>D160*'4C2 Open-burning '!$C$9*'4C2 Open-burning '!$C$11*$C$5</f>
        <v>2.9511962864229782</v>
      </c>
      <c r="U160" s="431">
        <f>E160*'4C2 Open-burning '!$C$9*'4C2 Open-burning '!$C$11*$C$5</f>
        <v>0.80606129727631459</v>
      </c>
      <c r="V160" s="431">
        <f>F160*'4C2 Open-burning '!$C$9*'4C2 Open-burning '!$C$11*$C$5</f>
        <v>0</v>
      </c>
      <c r="W160" s="431">
        <f>G160*'4C2 Open-burning '!$C$9*'4C2 Open-burning '!$C$11*$C$5</f>
        <v>0</v>
      </c>
      <c r="X160" s="431">
        <f>H160*'4C2 Open-burning '!$C$9*'4C2 Open-burning '!$C$11*$C$5</f>
        <v>0</v>
      </c>
      <c r="Y160" s="431">
        <f>I160*'4C2 Open-burning '!$C$9*'4C2 Open-burning '!$C$11*$C$5</f>
        <v>3.1514227358995401</v>
      </c>
      <c r="Z160" s="432">
        <f t="shared" si="17"/>
        <v>9.7343998861328558</v>
      </c>
      <c r="AA160" s="1333">
        <f>C160*'4C2 Open-burning '!$C$10*'4C2 Open-burning '!$C$11*$C$5*C$15</f>
        <v>2.6083565229544831E-2</v>
      </c>
      <c r="AB160" s="433">
        <f>D160*'4C2 Open-burning '!$C$10*'4C2 Open-burning '!$C$11*$C$5*D$15</f>
        <v>2.7241811874673644E-2</v>
      </c>
      <c r="AC160" s="433">
        <f>E160*'4C2 Open-burning '!$C$10*'4C2 Open-burning '!$C$11*$C$5*E$15</f>
        <v>1.6741273097277305E-2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6.5452626053298144E-2</v>
      </c>
      <c r="AH160" s="434">
        <f t="shared" si="18"/>
        <v>0.13551927625479393</v>
      </c>
    </row>
    <row r="161" spans="1:34">
      <c r="A161" s="138">
        <f>'Input data'!A122</f>
        <v>2022</v>
      </c>
      <c r="B161" s="100">
        <f>'Recycling - Case 3'!AP102</f>
        <v>9.5787234273176591E-2</v>
      </c>
      <c r="C161" s="473">
        <f>$B161*'Recycling - Case 3'!$AK102*'Recycling - Case 3'!BM102</f>
        <v>603.00531989916851</v>
      </c>
      <c r="D161" s="474">
        <f>$B161*'Recycling - Case 3'!$AK102*'Recycling - Case 3'!BN102</f>
        <v>629.78190824595356</v>
      </c>
      <c r="E161" s="474">
        <f>$B161*'Recycling - Case 3'!$AK102*'Recycling - Case 3'!BO102</f>
        <v>172.01255785570908</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672.51000329431815</v>
      </c>
      <c r="J161" s="663">
        <f t="shared" si="19"/>
        <v>2077.3097892951491</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0.908680418630883</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23.169314633495848</v>
      </c>
      <c r="R161" s="1181">
        <f t="shared" si="16"/>
        <v>24.077995052126731</v>
      </c>
      <c r="S161" s="430">
        <f>C161*'4C2 Open-burning '!$C$9*'4C2 Open-burning '!$C$11*$C$5</f>
        <v>2.3517207476067568</v>
      </c>
      <c r="T161" s="431">
        <f>D161*'4C2 Open-burning '!$C$9*'4C2 Open-burning '!$C$11*$C$5</f>
        <v>2.4561494421592189</v>
      </c>
      <c r="U161" s="431">
        <f>E161*'4C2 Open-burning '!$C$9*'4C2 Open-burning '!$C$11*$C$5</f>
        <v>0.67084897563726531</v>
      </c>
      <c r="V161" s="431">
        <f>F161*'4C2 Open-burning '!$C$9*'4C2 Open-burning '!$C$11*$C$5</f>
        <v>0</v>
      </c>
      <c r="W161" s="431">
        <f>G161*'4C2 Open-burning '!$C$9*'4C2 Open-burning '!$C$11*$C$5</f>
        <v>0</v>
      </c>
      <c r="X161" s="431">
        <f>H161*'4C2 Open-burning '!$C$9*'4C2 Open-burning '!$C$11*$C$5</f>
        <v>0</v>
      </c>
      <c r="Y161" s="431">
        <f>I161*'4C2 Open-burning '!$C$9*'4C2 Open-burning '!$C$11*$C$5</f>
        <v>2.6227890128478406</v>
      </c>
      <c r="Z161" s="432">
        <f t="shared" si="17"/>
        <v>8.1015081782510823</v>
      </c>
      <c r="AA161" s="1333">
        <f>C161*'4C2 Open-burning '!$C$10*'4C2 Open-burning '!$C$11*$C$5*C$15</f>
        <v>2.1708191516370063E-2</v>
      </c>
      <c r="AB161" s="433">
        <f>D161*'4C2 Open-burning '!$C$10*'4C2 Open-burning '!$C$11*$C$5*D$15</f>
        <v>2.2672148696854327E-2</v>
      </c>
      <c r="AC161" s="433">
        <f>E161*'4C2 Open-burning '!$C$10*'4C2 Open-burning '!$C$11*$C$5*E$15</f>
        <v>1.3933017186312433E-2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5.4473310266839763E-2</v>
      </c>
      <c r="AH161" s="434">
        <f t="shared" si="18"/>
        <v>0.11278666766637657</v>
      </c>
    </row>
    <row r="162" spans="1:34">
      <c r="A162" s="138">
        <f>'Input data'!A123</f>
        <v>2023</v>
      </c>
      <c r="B162" s="100">
        <f>'Recycling - Case 3'!AP103</f>
        <v>9.1876256960619254E-2</v>
      </c>
      <c r="C162" s="473">
        <f>$B162*'Recycling - Case 3'!$AK103*'Recycling - Case 3'!BM103</f>
        <v>571.86877898847058</v>
      </c>
      <c r="D162" s="474">
        <f>$B162*'Recycling - Case 3'!$AK103*'Recycling - Case 3'!BN103</f>
        <v>597.26274215601518</v>
      </c>
      <c r="E162" s="474">
        <f>$B162*'Recycling - Case 3'!$AK103*'Recycling - Case 3'!BO103</f>
        <v>163.1305863903103</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637.7845464211872</v>
      </c>
      <c r="J162" s="663">
        <f t="shared" si="19"/>
        <v>1970.0466539559834</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0.86176016088890883</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21.97295319330274</v>
      </c>
      <c r="R162" s="1181">
        <f t="shared" si="16"/>
        <v>22.834713354191649</v>
      </c>
      <c r="S162" s="430">
        <f>C162*'4C2 Open-burning '!$C$9*'4C2 Open-burning '!$C$11*$C$5</f>
        <v>2.2302882380550351</v>
      </c>
      <c r="T162" s="431">
        <f>D162*'4C2 Open-burning '!$C$9*'4C2 Open-burning '!$C$11*$C$5</f>
        <v>2.3293246944084589</v>
      </c>
      <c r="U162" s="431">
        <f>E162*'4C2 Open-burning '!$C$9*'4C2 Open-burning '!$C$11*$C$5</f>
        <v>0.63620928692221002</v>
      </c>
      <c r="V162" s="431">
        <f>F162*'4C2 Open-burning '!$C$9*'4C2 Open-burning '!$C$11*$C$5</f>
        <v>0</v>
      </c>
      <c r="W162" s="431">
        <f>G162*'4C2 Open-burning '!$C$9*'4C2 Open-burning '!$C$11*$C$5</f>
        <v>0</v>
      </c>
      <c r="X162" s="431">
        <f>H162*'4C2 Open-burning '!$C$9*'4C2 Open-burning '!$C$11*$C$5</f>
        <v>0</v>
      </c>
      <c r="Y162" s="431">
        <f>I162*'4C2 Open-burning '!$C$9*'4C2 Open-burning '!$C$11*$C$5</f>
        <v>2.4873597310426301</v>
      </c>
      <c r="Z162" s="432">
        <f t="shared" si="17"/>
        <v>7.6831819504283345</v>
      </c>
      <c r="AA162" s="1333">
        <f>C162*'4C2 Open-burning '!$C$10*'4C2 Open-burning '!$C$11*$C$5*C$15</f>
        <v>2.0587276043584939E-2</v>
      </c>
      <c r="AB162" s="433">
        <f>D162*'4C2 Open-burning '!$C$10*'4C2 Open-burning '!$C$11*$C$5*D$15</f>
        <v>2.1501458717616547E-2</v>
      </c>
      <c r="AC162" s="433">
        <f>E162*'4C2 Open-burning '!$C$10*'4C2 Open-burning '!$C$11*$C$5*E$15</f>
        <v>1.3213577497615132E-2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5.1660548260116165E-2</v>
      </c>
      <c r="AH162" s="434">
        <f t="shared" si="18"/>
        <v>0.10696286051893278</v>
      </c>
    </row>
    <row r="163" spans="1:34">
      <c r="A163" s="138">
        <f>'Input data'!A124</f>
        <v>2024</v>
      </c>
      <c r="B163" s="100">
        <f>'Recycling - Case 3'!AP104</f>
        <v>8.7781424771145714E-2</v>
      </c>
      <c r="C163" s="473">
        <f>$B163*'Recycling - Case 3'!$AK104*'Recycling - Case 3'!BM104</f>
        <v>540.19890619267005</v>
      </c>
      <c r="D163" s="474">
        <f>$B163*'Recycling - Case 3'!$AK104*'Recycling - Case 3'!BN104</f>
        <v>564.18656145734235</v>
      </c>
      <c r="E163" s="474">
        <f>$B163*'Recycling - Case 3'!$AK104*'Recycling - Case 3'!BO104</f>
        <v>154.09647732559836</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602.4642838042738</v>
      </c>
      <c r="J163" s="663">
        <f t="shared" si="19"/>
        <v>1860.9462287798842</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0.8140362149792989</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20.756099505624839</v>
      </c>
      <c r="R163" s="1181">
        <f t="shared" si="16"/>
        <v>21.570135720604139</v>
      </c>
      <c r="S163" s="430">
        <f>C163*'4C2 Open-burning '!$C$9*'4C2 Open-burning '!$C$11*$C$5</f>
        <v>2.1067757341514133</v>
      </c>
      <c r="T163" s="431">
        <f>D163*'4C2 Open-burning '!$C$9*'4C2 Open-burning '!$C$11*$C$5</f>
        <v>2.200327589683635</v>
      </c>
      <c r="U163" s="431">
        <f>E163*'4C2 Open-burning '!$C$9*'4C2 Open-burning '!$C$11*$C$5</f>
        <v>0.60097626156983353</v>
      </c>
      <c r="V163" s="431">
        <f>F163*'4C2 Open-burning '!$C$9*'4C2 Open-burning '!$C$11*$C$5</f>
        <v>0</v>
      </c>
      <c r="W163" s="431">
        <f>G163*'4C2 Open-burning '!$C$9*'4C2 Open-burning '!$C$11*$C$5</f>
        <v>0</v>
      </c>
      <c r="X163" s="431">
        <f>H163*'4C2 Open-burning '!$C$9*'4C2 Open-burning '!$C$11*$C$5</f>
        <v>0</v>
      </c>
      <c r="Y163" s="431">
        <f>I163*'4C2 Open-burning '!$C$9*'4C2 Open-burning '!$C$11*$C$5</f>
        <v>2.3496107068366676</v>
      </c>
      <c r="Z163" s="432">
        <f t="shared" si="17"/>
        <v>7.2576902922415494</v>
      </c>
      <c r="AA163" s="1333">
        <f>C163*'4C2 Open-burning '!$C$10*'4C2 Open-burning '!$C$11*$C$5*C$15</f>
        <v>1.9447160622936121E-2</v>
      </c>
      <c r="AB163" s="433">
        <f>D163*'4C2 Open-burning '!$C$10*'4C2 Open-burning '!$C$11*$C$5*D$15</f>
        <v>2.0310716212464323E-2</v>
      </c>
      <c r="AC163" s="433">
        <f>E163*'4C2 Open-burning '!$C$10*'4C2 Open-burning '!$C$11*$C$5*E$15</f>
        <v>1.2481814663373466E-2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4.8799606988146178E-2</v>
      </c>
      <c r="AH163" s="434">
        <f t="shared" si="18"/>
        <v>0.10103929848692009</v>
      </c>
    </row>
    <row r="164" spans="1:34">
      <c r="A164" s="138">
        <f>'Input data'!A125</f>
        <v>2025</v>
      </c>
      <c r="B164" s="100">
        <f>'Recycling - Case 3'!AP105</f>
        <v>8.3494201429216791E-2</v>
      </c>
      <c r="C164" s="473">
        <f>$B164*'Recycling - Case 3'!$AK105*'Recycling - Case 3'!BM105</f>
        <v>507.97627512742514</v>
      </c>
      <c r="D164" s="474">
        <f>$B164*'Recycling - Case 3'!$AK105*'Recycling - Case 3'!BN105</f>
        <v>530.53307713257948</v>
      </c>
      <c r="E164" s="474">
        <f>$B164*'Recycling - Case 3'!$AK105*'Recycling - Case 3'!BO105</f>
        <v>144.90468911500608</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566.52754990039557</v>
      </c>
      <c r="J164" s="663">
        <f t="shared" si="19"/>
        <v>1749.9415912754062</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0.76547930690649568</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19.518007149168426</v>
      </c>
      <c r="R164" s="1181">
        <f t="shared" si="16"/>
        <v>20.283486456074922</v>
      </c>
      <c r="S164" s="430">
        <f>C164*'4C2 Open-burning '!$C$9*'4C2 Open-burning '!$C$11*$C$5</f>
        <v>1.9811074729969578</v>
      </c>
      <c r="T164" s="431">
        <f>D164*'4C2 Open-burning '!$C$9*'4C2 Open-burning '!$C$11*$C$5</f>
        <v>2.0690790008170601</v>
      </c>
      <c r="U164" s="431">
        <f>E164*'4C2 Open-burning '!$C$9*'4C2 Open-burning '!$C$11*$C$5</f>
        <v>0.56512828754852362</v>
      </c>
      <c r="V164" s="431">
        <f>F164*'4C2 Open-burning '!$C$9*'4C2 Open-burning '!$C$11*$C$5</f>
        <v>0</v>
      </c>
      <c r="W164" s="431">
        <f>G164*'4C2 Open-burning '!$C$9*'4C2 Open-burning '!$C$11*$C$5</f>
        <v>0</v>
      </c>
      <c r="X164" s="431">
        <f>H164*'4C2 Open-burning '!$C$9*'4C2 Open-burning '!$C$11*$C$5</f>
        <v>0</v>
      </c>
      <c r="Y164" s="431">
        <f>I164*'4C2 Open-burning '!$C$9*'4C2 Open-burning '!$C$11*$C$5</f>
        <v>2.2094574446115427</v>
      </c>
      <c r="Z164" s="432">
        <f t="shared" si="17"/>
        <v>6.8247722059740834</v>
      </c>
      <c r="AA164" s="1333">
        <f>C164*'4C2 Open-burning '!$C$10*'4C2 Open-burning '!$C$11*$C$5*C$15</f>
        <v>1.8287145904587302E-2</v>
      </c>
      <c r="AB164" s="433">
        <f>D164*'4C2 Open-burning '!$C$10*'4C2 Open-burning '!$C$11*$C$5*D$15</f>
        <v>1.9099190776772856E-2</v>
      </c>
      <c r="AC164" s="433">
        <f>E164*'4C2 Open-burning '!$C$10*'4C2 Open-burning '!$C$11*$C$5*E$15</f>
        <v>1.1737279818315492E-2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4.5888731541932043E-2</v>
      </c>
      <c r="AH164" s="434">
        <f t="shared" si="18"/>
        <v>9.5012348041607686E-2</v>
      </c>
    </row>
    <row r="165" spans="1:34">
      <c r="A165" s="138">
        <f>'Input data'!A126</f>
        <v>2026</v>
      </c>
      <c r="B165" s="100">
        <f>'Recycling - Case 3'!AP106</f>
        <v>7.9101611218796483E-2</v>
      </c>
      <c r="C165" s="473">
        <f>$B165*'Recycling - Case 3'!$AK106*'Recycling - Case 3'!BM106</f>
        <v>475.46190657561885</v>
      </c>
      <c r="D165" s="474">
        <f>$B165*'Recycling - Case 3'!$AK106*'Recycling - Case 3'!BN106</f>
        <v>496.57490065182662</v>
      </c>
      <c r="E165" s="474">
        <f>$B165*'Recycling - Case 3'!$AK106*'Recycling - Case 3'!BO106</f>
        <v>135.62968022686783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530.26545173923125</v>
      </c>
      <c r="J165" s="663">
        <f t="shared" si="19"/>
        <v>1637.9319391935446</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0.71648277395366111</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18.268705343319994</v>
      </c>
      <c r="R165" s="1181">
        <f t="shared" si="16"/>
        <v>18.985188117273655</v>
      </c>
      <c r="S165" s="430">
        <f>C165*'4C2 Open-burning '!$C$9*'4C2 Open-burning '!$C$11*$C$5</f>
        <v>1.8543014356449135</v>
      </c>
      <c r="T165" s="431">
        <f>D165*'4C2 Open-burning '!$C$9*'4C2 Open-burning '!$C$11*$C$5</f>
        <v>1.9366421125421234</v>
      </c>
      <c r="U165" s="431">
        <f>E165*'4C2 Open-burning '!$C$9*'4C2 Open-burning '!$C$11*$C$5</f>
        <v>0.52895575288478458</v>
      </c>
      <c r="V165" s="431">
        <f>F165*'4C2 Open-burning '!$C$9*'4C2 Open-burning '!$C$11*$C$5</f>
        <v>0</v>
      </c>
      <c r="W165" s="431">
        <f>G165*'4C2 Open-burning '!$C$9*'4C2 Open-burning '!$C$11*$C$5</f>
        <v>0</v>
      </c>
      <c r="X165" s="431">
        <f>H165*'4C2 Open-burning '!$C$9*'4C2 Open-burning '!$C$11*$C$5</f>
        <v>0</v>
      </c>
      <c r="Y165" s="431">
        <f>I165*'4C2 Open-burning '!$C$9*'4C2 Open-burning '!$C$11*$C$5</f>
        <v>2.0680352617830016</v>
      </c>
      <c r="Z165" s="432">
        <f t="shared" si="17"/>
        <v>6.3879345628548228</v>
      </c>
      <c r="AA165" s="1333">
        <f>C165*'4C2 Open-burning '!$C$10*'4C2 Open-burning '!$C$11*$C$5*C$15</f>
        <v>1.7116628636722277E-2</v>
      </c>
      <c r="AB165" s="433">
        <f>D165*'4C2 Open-burning '!$C$10*'4C2 Open-burning '!$C$11*$C$5*D$15</f>
        <v>1.7876696423465756E-2</v>
      </c>
      <c r="AC165" s="433">
        <f>E165*'4C2 Open-burning '!$C$10*'4C2 Open-burning '!$C$11*$C$5*E$15</f>
        <v>1.0986004098376294E-2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4.2951501590877732E-2</v>
      </c>
      <c r="AH165" s="434">
        <f t="shared" si="18"/>
        <v>8.8930830749442052E-2</v>
      </c>
    </row>
    <row r="166" spans="1:34">
      <c r="A166" s="138">
        <f>'Input data'!A127</f>
        <v>2027</v>
      </c>
      <c r="B166" s="100">
        <f>'Recycling - Case 3'!AP107</f>
        <v>7.4490877934688157E-2</v>
      </c>
      <c r="C166" s="473">
        <f>$B166*'Recycling - Case 3'!$AK107*'Recycling - Case 3'!BM107</f>
        <v>442.31360987420572</v>
      </c>
      <c r="D166" s="474">
        <f>$B166*'Recycling - Case 3'!$AK107*'Recycling - Case 3'!BN107</f>
        <v>461.9546462978355</v>
      </c>
      <c r="E166" s="474">
        <f>$B166*'Recycling - Case 3'!$AK107*'Recycling - Case 3'!BO107</f>
        <v>126.17383777240413</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493.29635646226745</v>
      </c>
      <c r="J166" s="663">
        <f t="shared" si="19"/>
        <v>1523.7384504067127</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0.66653096237001297</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16.995046072838036</v>
      </c>
      <c r="R166" s="1181">
        <f t="shared" si="16"/>
        <v>17.661577035208051</v>
      </c>
      <c r="S166" s="430">
        <f>C166*'4C2 Open-burning '!$C$9*'4C2 Open-burning '!$C$11*$C$5</f>
        <v>1.7250230785094021</v>
      </c>
      <c r="T166" s="431">
        <f>D166*'4C2 Open-burning '!$C$9*'4C2 Open-burning '!$C$11*$C$5</f>
        <v>1.8016231205615583</v>
      </c>
      <c r="U166" s="431">
        <f>E166*'4C2 Open-burning '!$C$9*'4C2 Open-burning '!$C$11*$C$5</f>
        <v>0.49207796731237607</v>
      </c>
      <c r="V166" s="431">
        <f>F166*'4C2 Open-burning '!$C$9*'4C2 Open-burning '!$C$11*$C$5</f>
        <v>0</v>
      </c>
      <c r="W166" s="431">
        <f>G166*'4C2 Open-burning '!$C$9*'4C2 Open-burning '!$C$11*$C$5</f>
        <v>0</v>
      </c>
      <c r="X166" s="431">
        <f>H166*'4C2 Open-burning '!$C$9*'4C2 Open-burning '!$C$11*$C$5</f>
        <v>0</v>
      </c>
      <c r="Y166" s="431">
        <f>I166*'4C2 Open-burning '!$C$9*'4C2 Open-burning '!$C$11*$C$5</f>
        <v>1.9238557902028428</v>
      </c>
      <c r="Z166" s="432">
        <f t="shared" si="17"/>
        <v>5.9425799565861794</v>
      </c>
      <c r="AA166" s="1333">
        <f>C166*'4C2 Open-burning '!$C$10*'4C2 Open-burning '!$C$11*$C$5*C$15</f>
        <v>1.5923289955471404E-2</v>
      </c>
      <c r="AB166" s="433">
        <f>D166*'4C2 Open-burning '!$C$10*'4C2 Open-burning '!$C$11*$C$5*D$15</f>
        <v>1.6630367266722075E-2</v>
      </c>
      <c r="AC166" s="433">
        <f>E166*'4C2 Open-burning '!$C$10*'4C2 Open-burning '!$C$11*$C$5*E$15</f>
        <v>1.0220080859564733E-2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3.9957004873443669E-2</v>
      </c>
      <c r="AH166" s="434">
        <f t="shared" si="18"/>
        <v>8.2730742955201886E-2</v>
      </c>
    </row>
    <row r="167" spans="1:34">
      <c r="A167" s="138">
        <f>'Input data'!A128</f>
        <v>2028</v>
      </c>
      <c r="B167" s="100">
        <f>'Recycling - Case 3'!AP108</f>
        <v>6.9650668830486373E-2</v>
      </c>
      <c r="C167" s="473">
        <f>$B167*'Recycling - Case 3'!$AK108*'Recycling - Case 3'!BM108</f>
        <v>408.50849791562155</v>
      </c>
      <c r="D167" s="474">
        <f>$B167*'Recycling - Case 3'!$AK108*'Recycling - Case 3'!BN108</f>
        <v>426.64841065582618</v>
      </c>
      <c r="E167" s="474">
        <f>$B167*'Recycling - Case 3'!$AK108*'Recycling - Case 3'!BO108</f>
        <v>116.53063300338647</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455.59473890699655</v>
      </c>
      <c r="J167" s="663">
        <f t="shared" si="19"/>
        <v>1407.2822804818306</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0.61558938312900946</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15.696149944823844</v>
      </c>
      <c r="R167" s="1181">
        <f t="shared" si="16"/>
        <v>16.311739327952854</v>
      </c>
      <c r="S167" s="430">
        <f>C167*'4C2 Open-burning '!$C$9*'4C2 Open-burning '!$C$11*$C$5</f>
        <v>1.5931831418709239</v>
      </c>
      <c r="T167" s="431">
        <f>D167*'4C2 Open-burning '!$C$9*'4C2 Open-burning '!$C$11*$C$5</f>
        <v>1.663928801557722</v>
      </c>
      <c r="U167" s="431">
        <f>E167*'4C2 Open-burning '!$C$9*'4C2 Open-burning '!$C$11*$C$5</f>
        <v>0.4544694687132072</v>
      </c>
      <c r="V167" s="431">
        <f>F167*'4C2 Open-burning '!$C$9*'4C2 Open-burning '!$C$11*$C$5</f>
        <v>0</v>
      </c>
      <c r="W167" s="431">
        <f>G167*'4C2 Open-burning '!$C$9*'4C2 Open-burning '!$C$11*$C$5</f>
        <v>0</v>
      </c>
      <c r="X167" s="431">
        <f>H167*'4C2 Open-burning '!$C$9*'4C2 Open-burning '!$C$11*$C$5</f>
        <v>0</v>
      </c>
      <c r="Y167" s="431">
        <f>I167*'4C2 Open-burning '!$C$9*'4C2 Open-burning '!$C$11*$C$5</f>
        <v>1.7768194817372864</v>
      </c>
      <c r="Z167" s="432">
        <f t="shared" si="17"/>
        <v>5.48840089387914</v>
      </c>
      <c r="AA167" s="1333">
        <f>C167*'4C2 Open-burning '!$C$10*'4C2 Open-burning '!$C$11*$C$5*C$15</f>
        <v>1.4706305924962373E-2</v>
      </c>
      <c r="AB167" s="433">
        <f>D167*'4C2 Open-burning '!$C$10*'4C2 Open-burning '!$C$11*$C$5*D$15</f>
        <v>1.5359342783609745E-2</v>
      </c>
      <c r="AC167" s="433">
        <f>E167*'4C2 Open-burning '!$C$10*'4C2 Open-burning '!$C$11*$C$5*E$15</f>
        <v>9.4389812732743016E-3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3.6903173851466728E-2</v>
      </c>
      <c r="AH167" s="434">
        <f t="shared" si="18"/>
        <v>7.6407803833313151E-2</v>
      </c>
    </row>
    <row r="168" spans="1:34">
      <c r="A168" s="138">
        <f>'Input data'!A129</f>
        <v>2029</v>
      </c>
      <c r="B168" s="100">
        <f>'Recycling - Case 3'!AP109</f>
        <v>6.456893299470301E-2</v>
      </c>
      <c r="C168" s="473">
        <f>$B168*'Recycling - Case 3'!$AK109*'Recycling - Case 3'!BM109</f>
        <v>374.02265479868709</v>
      </c>
      <c r="D168" s="474">
        <f>$B168*'Recycling - Case 3'!$AK109*'Recycling - Case 3'!BN109</f>
        <v>390.63121583358941</v>
      </c>
      <c r="E168" s="474">
        <f>$B168*'Recycling - Case 3'!$AK109*'Recycling - Case 3'!BO109</f>
        <v>106.69324369918181</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417.13392653463643</v>
      </c>
      <c r="J168" s="663">
        <f t="shared" si="19"/>
        <v>1288.4810408660946</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0.56362199689504577</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14.371098036971294</v>
      </c>
      <c r="R168" s="1181">
        <f t="shared" si="16"/>
        <v>14.93472003386634</v>
      </c>
      <c r="S168" s="430">
        <f>C168*'4C2 Open-burning '!$C$9*'4C2 Open-burning '!$C$11*$C$5</f>
        <v>1.4586883537148796</v>
      </c>
      <c r="T168" s="431">
        <f>D168*'4C2 Open-burning '!$C$9*'4C2 Open-burning '!$C$11*$C$5</f>
        <v>1.5234617417509988</v>
      </c>
      <c r="U168" s="431">
        <f>E168*'4C2 Open-burning '!$C$9*'4C2 Open-burning '!$C$11*$C$5</f>
        <v>0.41610365042680902</v>
      </c>
      <c r="V168" s="431">
        <f>F168*'4C2 Open-burning '!$C$9*'4C2 Open-burning '!$C$11*$C$5</f>
        <v>0</v>
      </c>
      <c r="W168" s="431">
        <f>G168*'4C2 Open-burning '!$C$9*'4C2 Open-burning '!$C$11*$C$5</f>
        <v>0</v>
      </c>
      <c r="X168" s="431">
        <f>H168*'4C2 Open-burning '!$C$9*'4C2 Open-burning '!$C$11*$C$5</f>
        <v>0</v>
      </c>
      <c r="Y168" s="431">
        <f>I168*'4C2 Open-burning '!$C$9*'4C2 Open-burning '!$C$11*$C$5</f>
        <v>1.6268223134850821</v>
      </c>
      <c r="Z168" s="432">
        <f t="shared" si="17"/>
        <v>5.0250760593777697</v>
      </c>
      <c r="AA168" s="1333">
        <f>C168*'4C2 Open-burning '!$C$10*'4C2 Open-burning '!$C$11*$C$5*C$15</f>
        <v>1.3464815572752734E-2</v>
      </c>
      <c r="AB168" s="433">
        <f>D168*'4C2 Open-burning '!$C$10*'4C2 Open-burning '!$C$11*$C$5*D$15</f>
        <v>1.4062723770009221E-2</v>
      </c>
      <c r="AC168" s="433">
        <f>E168*'4C2 Open-burning '!$C$10*'4C2 Open-burning '!$C$11*$C$5*E$15</f>
        <v>8.642152739633726E-3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3.3787848049305548E-2</v>
      </c>
      <c r="AH168" s="434">
        <f t="shared" si="18"/>
        <v>6.9957540131701218E-2</v>
      </c>
    </row>
    <row r="169" spans="1:34">
      <c r="A169" s="138">
        <f>'Input data'!A130</f>
        <v>2030</v>
      </c>
      <c r="B169" s="100">
        <f>'Recycling - Case 3'!AP110</f>
        <v>5.9232841965285256E-2</v>
      </c>
      <c r="C169" s="473">
        <f>$B169*'Recycling - Case 3'!$AK110*'Recycling - Case 3'!BM110</f>
        <v>338.83107576381155</v>
      </c>
      <c r="D169" s="474">
        <f>$B169*'Recycling - Case 3'!$AK110*'Recycling - Case 3'!BN110</f>
        <v>353.87694672949891</v>
      </c>
      <c r="E169" s="474">
        <f>$B169*'Recycling - Case 3'!$AK110*'Recycling - Case 3'!BO110</f>
        <v>96.654537032742255</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377.88603244203728</v>
      </c>
      <c r="J169" s="663">
        <f t="shared" si="19"/>
        <v>1167.2485919680898</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0.51059112351064551</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13.018929589693068</v>
      </c>
      <c r="R169" s="1181">
        <f t="shared" si="16"/>
        <v>13.529520713203713</v>
      </c>
      <c r="S169" s="430">
        <f>C169*'4C2 Open-burning '!$C$9*'4C2 Open-burning '!$C$11*$C$5</f>
        <v>1.3214411954788652</v>
      </c>
      <c r="T169" s="431">
        <f>D169*'4C2 Open-burning '!$C$9*'4C2 Open-burning '!$C$11*$C$5</f>
        <v>1.3801200922450456</v>
      </c>
      <c r="U169" s="431">
        <f>E169*'4C2 Open-burning '!$C$9*'4C2 Open-burning '!$C$11*$C$5</f>
        <v>0.37695269442769475</v>
      </c>
      <c r="V169" s="431">
        <f>F169*'4C2 Open-burning '!$C$9*'4C2 Open-burning '!$C$11*$C$5</f>
        <v>0</v>
      </c>
      <c r="W169" s="431">
        <f>G169*'4C2 Open-burning '!$C$9*'4C2 Open-burning '!$C$11*$C$5</f>
        <v>0</v>
      </c>
      <c r="X169" s="431">
        <f>H169*'4C2 Open-burning '!$C$9*'4C2 Open-burning '!$C$11*$C$5</f>
        <v>0</v>
      </c>
      <c r="Y169" s="431">
        <f>I169*'4C2 Open-burning '!$C$9*'4C2 Open-burning '!$C$11*$C$5</f>
        <v>1.4737555265239453</v>
      </c>
      <c r="Z169" s="432">
        <f t="shared" si="17"/>
        <v>4.5522695086755505</v>
      </c>
      <c r="AA169" s="1333">
        <f>C169*'4C2 Open-burning '!$C$10*'4C2 Open-burning '!$C$11*$C$5*C$15</f>
        <v>1.2197918727497216E-2</v>
      </c>
      <c r="AB169" s="433">
        <f>D169*'4C2 Open-burning '!$C$10*'4C2 Open-burning '!$C$11*$C$5*D$15</f>
        <v>1.2739570082261962E-2</v>
      </c>
      <c r="AC169" s="433">
        <f>E169*'4C2 Open-burning '!$C$10*'4C2 Open-burning '!$C$11*$C$5*E$15</f>
        <v>7.8290174996521224E-3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3.0608768627805014E-2</v>
      </c>
      <c r="AH169" s="434">
        <f t="shared" si="18"/>
        <v>6.3375274937216314E-2</v>
      </c>
    </row>
    <row r="170" spans="1:34">
      <c r="A170" s="138">
        <f>'Input data'!A131</f>
        <v>2031</v>
      </c>
      <c r="B170" s="100">
        <f>'Recycling - Case 3'!AP111</f>
        <v>5.3303987081268309E-2</v>
      </c>
      <c r="C170" s="473">
        <f>$B170*'Recycling - Case 3'!$AK111*'Recycling - Case 3'!BM111</f>
        <v>298.82604241262334</v>
      </c>
      <c r="D170" s="474">
        <f>$B170*'Recycling - Case 3'!$AK111*'Recycling - Case 3'!BN111</f>
        <v>312.09548077565427</v>
      </c>
      <c r="E170" s="474">
        <f>$B170*'Recycling - Case 3'!$AK111*'Recycling - Case 3'!BO111</f>
        <v>85.242750292632735</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333.26986700705311</v>
      </c>
      <c r="J170" s="663">
        <f t="shared" si="19"/>
        <v>1029.4341404879635</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0.45030676240587336</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11.481813458126993</v>
      </c>
      <c r="R170" s="1181">
        <f t="shared" si="16"/>
        <v>11.932120220532866</v>
      </c>
      <c r="S170" s="430">
        <f>C170*'4C2 Open-burning '!$C$9*'4C2 Open-burning '!$C$11*$C$5</f>
        <v>1.165421565409231</v>
      </c>
      <c r="T170" s="431">
        <f>D170*'4C2 Open-burning '!$C$9*'4C2 Open-burning '!$C$11*$C$5</f>
        <v>1.2171723750250516</v>
      </c>
      <c r="U170" s="431">
        <f>E170*'4C2 Open-burning '!$C$9*'4C2 Open-burning '!$C$11*$C$5</f>
        <v>0.33244672614126763</v>
      </c>
      <c r="V170" s="431">
        <f>F170*'4C2 Open-burning '!$C$9*'4C2 Open-burning '!$C$11*$C$5</f>
        <v>0</v>
      </c>
      <c r="W170" s="431">
        <f>G170*'4C2 Open-burning '!$C$9*'4C2 Open-burning '!$C$11*$C$5</f>
        <v>0</v>
      </c>
      <c r="X170" s="431">
        <f>H170*'4C2 Open-burning '!$C$9*'4C2 Open-burning '!$C$11*$C$5</f>
        <v>0</v>
      </c>
      <c r="Y170" s="431">
        <f>I170*'4C2 Open-burning '!$C$9*'4C2 Open-burning '!$C$11*$C$5</f>
        <v>1.299752481327507</v>
      </c>
      <c r="Z170" s="432">
        <f t="shared" si="17"/>
        <v>4.014793147903057</v>
      </c>
      <c r="AA170" s="1333">
        <f>C170*'4C2 Open-burning '!$C$10*'4C2 Open-burning '!$C$11*$C$5*C$15</f>
        <v>1.075773752685444E-2</v>
      </c>
      <c r="AB170" s="433">
        <f>D170*'4C2 Open-burning '!$C$10*'4C2 Open-burning '!$C$11*$C$5*D$15</f>
        <v>1.1235437307923554E-2</v>
      </c>
      <c r="AC170" s="433">
        <f>E170*'4C2 Open-burning '!$C$10*'4C2 Open-burning '!$C$11*$C$5*E$15</f>
        <v>6.9046627737032514E-3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2.6994859227571302E-2</v>
      </c>
      <c r="AH170" s="434">
        <f t="shared" si="18"/>
        <v>5.5892696836052552E-2</v>
      </c>
    </row>
    <row r="171" spans="1:34">
      <c r="A171" s="138">
        <f>'Input data'!A132</f>
        <v>2032</v>
      </c>
      <c r="B171" s="100">
        <f>'Recycling - Case 3'!AP112</f>
        <v>4.7169902017933425E-2</v>
      </c>
      <c r="C171" s="473">
        <f>$B171*'Recycling - Case 3'!$AK112*'Recycling - Case 3'!BM112</f>
        <v>259.06958659317866</v>
      </c>
      <c r="D171" s="474">
        <f>$B171*'Recycling - Case 3'!$AK112*'Recycling - Case 3'!BN112</f>
        <v>270.57363049537389</v>
      </c>
      <c r="E171" s="474">
        <f>$B171*'Recycling - Case 3'!$AK112*'Recycling - Case 3'!BO112</f>
        <v>73.90187247430157</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288.93093109422244</v>
      </c>
      <c r="J171" s="663">
        <f t="shared" si="19"/>
        <v>892.47602065707656</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0.39039698760764446</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9.9542484380581513</v>
      </c>
      <c r="R171" s="1181">
        <f t="shared" si="16"/>
        <v>10.344645425665796</v>
      </c>
      <c r="S171" s="430">
        <f>C171*'4C2 Open-burning '!$C$9*'4C2 Open-burning '!$C$11*$C$5</f>
        <v>1.0103713877133966</v>
      </c>
      <c r="T171" s="431">
        <f>D171*'4C2 Open-burning '!$C$9*'4C2 Open-burning '!$C$11*$C$5</f>
        <v>1.055237158931958</v>
      </c>
      <c r="U171" s="431">
        <f>E171*'4C2 Open-burning '!$C$9*'4C2 Open-burning '!$C$11*$C$5</f>
        <v>0.28821730264977613</v>
      </c>
      <c r="V171" s="431">
        <f>F171*'4C2 Open-burning '!$C$9*'4C2 Open-burning '!$C$11*$C$5</f>
        <v>0</v>
      </c>
      <c r="W171" s="431">
        <f>G171*'4C2 Open-burning '!$C$9*'4C2 Open-burning '!$C$11*$C$5</f>
        <v>0</v>
      </c>
      <c r="X171" s="431">
        <f>H171*'4C2 Open-burning '!$C$9*'4C2 Open-burning '!$C$11*$C$5</f>
        <v>0</v>
      </c>
      <c r="Y171" s="431">
        <f>I171*'4C2 Open-burning '!$C$9*'4C2 Open-burning '!$C$11*$C$5</f>
        <v>1.1268306312674674</v>
      </c>
      <c r="Z171" s="432">
        <f t="shared" si="17"/>
        <v>3.4806564805625984</v>
      </c>
      <c r="AA171" s="1333">
        <f>C171*'4C2 Open-burning '!$C$10*'4C2 Open-burning '!$C$11*$C$5*C$15</f>
        <v>9.3265051173544306E-3</v>
      </c>
      <c r="AB171" s="433">
        <f>D171*'4C2 Open-burning '!$C$10*'4C2 Open-burning '!$C$11*$C$5*D$15</f>
        <v>9.7406506978334612E-3</v>
      </c>
      <c r="AC171" s="433">
        <f>E171*'4C2 Open-burning '!$C$10*'4C2 Open-burning '!$C$11*$C$5*E$15</f>
        <v>5.9860516704184265E-3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2.3403405418632013E-2</v>
      </c>
      <c r="AH171" s="434">
        <f t="shared" si="18"/>
        <v>4.8456612904238333E-2</v>
      </c>
    </row>
    <row r="172" spans="1:34">
      <c r="A172" s="138">
        <f>'Input data'!A133</f>
        <v>2033</v>
      </c>
      <c r="B172" s="100">
        <f>'Recycling - Case 3'!AP113</f>
        <v>4.6838844603991521E-2</v>
      </c>
      <c r="C172" s="473">
        <f>$B172*'Recycling - Case 3'!$AK113*'Recycling - Case 3'!BM113</f>
        <v>258.30163348813284</v>
      </c>
      <c r="D172" s="474">
        <f>$B172*'Recycling - Case 3'!$AK113*'Recycling - Case 3'!BN113</f>
        <v>269.77157625807456</v>
      </c>
      <c r="E172" s="474">
        <f>$B172*'Recycling - Case 3'!$AK113*'Recycling - Case 3'!BO113</f>
        <v>73.682807113594208</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288.0744607975912</v>
      </c>
      <c r="J172" s="663">
        <f t="shared" si="19"/>
        <v>889.83047765739275</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0.38923974417055729</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9.9247413233986101</v>
      </c>
      <c r="R172" s="1181">
        <f t="shared" si="16"/>
        <v>10.313981067569168</v>
      </c>
      <c r="S172" s="430">
        <f>C172*'4C2 Open-burning '!$C$9*'4C2 Open-burning '!$C$11*$C$5</f>
        <v>1.007376370603718</v>
      </c>
      <c r="T172" s="431">
        <f>D172*'4C2 Open-burning '!$C$9*'4C2 Open-burning '!$C$11*$C$5</f>
        <v>1.0521091474064908</v>
      </c>
      <c r="U172" s="431">
        <f>E172*'4C2 Open-burning '!$C$9*'4C2 Open-burning '!$C$11*$C$5</f>
        <v>0.28736294774301735</v>
      </c>
      <c r="V172" s="431">
        <f>F172*'4C2 Open-burning '!$C$9*'4C2 Open-burning '!$C$11*$C$5</f>
        <v>0</v>
      </c>
      <c r="W172" s="431">
        <f>G172*'4C2 Open-burning '!$C$9*'4C2 Open-burning '!$C$11*$C$5</f>
        <v>0</v>
      </c>
      <c r="X172" s="431">
        <f>H172*'4C2 Open-burning '!$C$9*'4C2 Open-burning '!$C$11*$C$5</f>
        <v>0</v>
      </c>
      <c r="Y172" s="431">
        <f>I172*'4C2 Open-burning '!$C$9*'4C2 Open-burning '!$C$11*$C$5</f>
        <v>1.1234903971106056</v>
      </c>
      <c r="Z172" s="432">
        <f t="shared" si="17"/>
        <v>3.4703388628638314</v>
      </c>
      <c r="AA172" s="1333">
        <f>C172*'4C2 Open-burning '!$C$10*'4C2 Open-burning '!$C$11*$C$5*C$15</f>
        <v>9.2988588055727805E-3</v>
      </c>
      <c r="AB172" s="433">
        <f>D172*'4C2 Open-burning '!$C$10*'4C2 Open-burning '!$C$11*$C$5*D$15</f>
        <v>9.7117767452906834E-3</v>
      </c>
      <c r="AC172" s="433">
        <f>E172*'4C2 Open-burning '!$C$10*'4C2 Open-burning '!$C$11*$C$5*E$15</f>
        <v>5.968307376201131E-3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2.333403132460489E-2</v>
      </c>
      <c r="AH172" s="434">
        <f t="shared" si="18"/>
        <v>4.8312974251669485E-2</v>
      </c>
    </row>
    <row r="173" spans="1:34">
      <c r="A173" s="138">
        <f>'Input data'!A134</f>
        <v>2034</v>
      </c>
      <c r="B173" s="100">
        <f>'Recycling - Case 3'!AP114</f>
        <v>4.6510696882263718E-2</v>
      </c>
      <c r="C173" s="473">
        <f>$B173*'Recycling - Case 3'!$AK114*'Recycling - Case 3'!BM114</f>
        <v>257.54466088971469</v>
      </c>
      <c r="D173" s="474">
        <f>$B173*'Recycling - Case 3'!$AK114*'Recycling - Case 3'!BN114</f>
        <v>268.98099011929656</v>
      </c>
      <c r="E173" s="474">
        <f>$B173*'Recycling - Case 3'!$AK114*'Recycling - Case 3'!BO114</f>
        <v>73.466874038737828</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287.23023666248571</v>
      </c>
      <c r="J173" s="663">
        <f t="shared" si="19"/>
        <v>887.22276171023475</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0.38809904747199797</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9.8956561134959564</v>
      </c>
      <c r="R173" s="1181">
        <f t="shared" si="16"/>
        <v>10.283755160967955</v>
      </c>
      <c r="S173" s="430">
        <f>C173*'4C2 Open-burning '!$C$9*'4C2 Open-burning '!$C$11*$C$5</f>
        <v>1.0044241774698872</v>
      </c>
      <c r="T173" s="431">
        <f>D173*'4C2 Open-burning '!$C$9*'4C2 Open-burning '!$C$11*$C$5</f>
        <v>1.0490258614652563</v>
      </c>
      <c r="U173" s="431">
        <f>E173*'4C2 Open-burning '!$C$9*'4C2 Open-burning '!$C$11*$C$5</f>
        <v>0.28652080875107749</v>
      </c>
      <c r="V173" s="431">
        <f>F173*'4C2 Open-burning '!$C$9*'4C2 Open-burning '!$C$11*$C$5</f>
        <v>0</v>
      </c>
      <c r="W173" s="431">
        <f>G173*'4C2 Open-burning '!$C$9*'4C2 Open-burning '!$C$11*$C$5</f>
        <v>0</v>
      </c>
      <c r="X173" s="431">
        <f>H173*'4C2 Open-burning '!$C$9*'4C2 Open-burning '!$C$11*$C$5</f>
        <v>0</v>
      </c>
      <c r="Y173" s="431">
        <f>I173*'4C2 Open-burning '!$C$9*'4C2 Open-burning '!$C$11*$C$5</f>
        <v>1.1201979229836942</v>
      </c>
      <c r="Z173" s="432">
        <f t="shared" si="17"/>
        <v>3.4601687706699158</v>
      </c>
      <c r="AA173" s="1333">
        <f>C173*'4C2 Open-burning '!$C$10*'4C2 Open-burning '!$C$11*$C$5*C$15</f>
        <v>9.2716077920297277E-3</v>
      </c>
      <c r="AB173" s="433">
        <f>D173*'4C2 Open-burning '!$C$10*'4C2 Open-burning '!$C$11*$C$5*D$15</f>
        <v>9.6833156442946763E-3</v>
      </c>
      <c r="AC173" s="433">
        <f>E173*'4C2 Open-burning '!$C$10*'4C2 Open-burning '!$C$11*$C$5*E$15</f>
        <v>5.950816797137764E-3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2.326564916966134E-2</v>
      </c>
      <c r="AH173" s="434">
        <f t="shared" si="18"/>
        <v>4.8171389403123509E-2</v>
      </c>
    </row>
    <row r="174" spans="1:34">
      <c r="A174" s="138">
        <f>'Input data'!A135</f>
        <v>2035</v>
      </c>
      <c r="B174" s="100">
        <f>'Recycling - Case 3'!AP115</f>
        <v>4.6185410753871683E-2</v>
      </c>
      <c r="C174" s="473">
        <f>$B174*'Recycling - Case 3'!$AK115*'Recycling - Case 3'!BM115</f>
        <v>256.79846171705356</v>
      </c>
      <c r="D174" s="474">
        <f>$B174*'Recycling - Case 3'!$AK115*'Recycling - Case 3'!BN115</f>
        <v>268.20165580269605</v>
      </c>
      <c r="E174" s="474">
        <f>$B174*'Recycling - Case 3'!$AK115*'Recycling - Case 3'!BO115</f>
        <v>73.25401417809725</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286.39802773910759</v>
      </c>
      <c r="J174" s="663">
        <f t="shared" si="19"/>
        <v>884.65215943695443</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0.38697458545778363</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9.8669848516677341</v>
      </c>
      <c r="R174" s="1181">
        <f t="shared" si="16"/>
        <v>10.253959437125518</v>
      </c>
      <c r="S174" s="430">
        <f>C174*'4C2 Open-burning '!$C$9*'4C2 Open-burning '!$C$11*$C$5</f>
        <v>1.0015140006965089</v>
      </c>
      <c r="T174" s="431">
        <f>D174*'4C2 Open-burning '!$C$9*'4C2 Open-burning '!$C$11*$C$5</f>
        <v>1.0459864576305145</v>
      </c>
      <c r="U174" s="431">
        <f>E174*'4C2 Open-burning '!$C$9*'4C2 Open-burning '!$C$11*$C$5</f>
        <v>0.28569065529457921</v>
      </c>
      <c r="V174" s="431">
        <f>F174*'4C2 Open-burning '!$C$9*'4C2 Open-burning '!$C$11*$C$5</f>
        <v>0</v>
      </c>
      <c r="W174" s="431">
        <f>G174*'4C2 Open-burning '!$C$9*'4C2 Open-burning '!$C$11*$C$5</f>
        <v>0</v>
      </c>
      <c r="X174" s="431">
        <f>H174*'4C2 Open-burning '!$C$9*'4C2 Open-burning '!$C$11*$C$5</f>
        <v>0</v>
      </c>
      <c r="Y174" s="431">
        <f>I174*'4C2 Open-burning '!$C$9*'4C2 Open-burning '!$C$11*$C$5</f>
        <v>1.1169523081825194</v>
      </c>
      <c r="Z174" s="432">
        <f t="shared" si="17"/>
        <v>3.450143421804122</v>
      </c>
      <c r="AA174" s="1333">
        <f>C174*'4C2 Open-burning '!$C$10*'4C2 Open-burning '!$C$11*$C$5*C$15</f>
        <v>9.2447446218139277E-3</v>
      </c>
      <c r="AB174" s="433">
        <f>D174*'4C2 Open-burning '!$C$10*'4C2 Open-burning '!$C$11*$C$5*D$15</f>
        <v>9.6552596088970571E-3</v>
      </c>
      <c r="AC174" s="433">
        <f>E174*'4C2 Open-burning '!$C$10*'4C2 Open-burning '!$C$11*$C$5*E$15</f>
        <v>5.9335751484258775E-3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2.3198240246867712E-2</v>
      </c>
      <c r="AH174" s="434">
        <f t="shared" si="18"/>
        <v>4.8031819626004571E-2</v>
      </c>
    </row>
    <row r="175" spans="1:34">
      <c r="A175" s="138">
        <f>'Input data'!A136</f>
        <v>2036</v>
      </c>
      <c r="B175" s="100">
        <f>'Recycling - Case 3'!AP116</f>
        <v>4.5908441368712229E-2</v>
      </c>
      <c r="C175" s="473">
        <f>$B175*'Recycling - Case 3'!$AK116*'Recycling - Case 3'!BM116</f>
        <v>256.16638525188546</v>
      </c>
      <c r="D175" s="474">
        <f>$B175*'Recycling - Case 3'!$AK116*'Recycling - Case 3'!BN116</f>
        <v>267.54151183836512</v>
      </c>
      <c r="E175" s="474">
        <f>$B175*'Recycling - Case 3'!$AK116*'Recycling - Case 3'!BO116</f>
        <v>73.073708821003336</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285.69309573992803</v>
      </c>
      <c r="J175" s="663">
        <f t="shared" si="19"/>
        <v>882.47470165118193</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0.38602209716618507</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9.8426985344319995</v>
      </c>
      <c r="R175" s="1181">
        <f t="shared" si="16"/>
        <v>10.228720631598184</v>
      </c>
      <c r="S175" s="430">
        <f>C175*'4C2 Open-burning '!$C$9*'4C2 Open-burning '!$C$11*$C$5</f>
        <v>0.99904890248235312</v>
      </c>
      <c r="T175" s="431">
        <f>D175*'4C2 Open-burning '!$C$9*'4C2 Open-burning '!$C$11*$C$5</f>
        <v>1.0434118961696239</v>
      </c>
      <c r="U175" s="431">
        <f>E175*'4C2 Open-burning '!$C$9*'4C2 Open-burning '!$C$11*$C$5</f>
        <v>0.28498746440191297</v>
      </c>
      <c r="V175" s="431">
        <f>F175*'4C2 Open-burning '!$C$9*'4C2 Open-burning '!$C$11*$C$5</f>
        <v>0</v>
      </c>
      <c r="W175" s="431">
        <f>G175*'4C2 Open-burning '!$C$9*'4C2 Open-burning '!$C$11*$C$5</f>
        <v>0</v>
      </c>
      <c r="X175" s="431">
        <f>H175*'4C2 Open-burning '!$C$9*'4C2 Open-burning '!$C$11*$C$5</f>
        <v>0</v>
      </c>
      <c r="Y175" s="431">
        <f>I175*'4C2 Open-burning '!$C$9*'4C2 Open-burning '!$C$11*$C$5</f>
        <v>1.1142030733857191</v>
      </c>
      <c r="Z175" s="432">
        <f t="shared" si="17"/>
        <v>3.4416513364396093</v>
      </c>
      <c r="AA175" s="1333">
        <f>C175*'4C2 Open-burning '!$C$10*'4C2 Open-burning '!$C$11*$C$5*C$15</f>
        <v>9.2219898690678783E-3</v>
      </c>
      <c r="AB175" s="433">
        <f>D175*'4C2 Open-burning '!$C$10*'4C2 Open-burning '!$C$11*$C$5*D$15</f>
        <v>9.6314944261811433E-3</v>
      </c>
      <c r="AC175" s="433">
        <f>E175*'4C2 Open-burning '!$C$10*'4C2 Open-burning '!$C$11*$C$5*E$15</f>
        <v>5.9189704145012701E-3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2.3141140754934165E-2</v>
      </c>
      <c r="AH175" s="434">
        <f t="shared" si="18"/>
        <v>4.7913595464684461E-2</v>
      </c>
    </row>
    <row r="176" spans="1:34">
      <c r="A176" s="138">
        <f>'Input data'!A137</f>
        <v>2037</v>
      </c>
      <c r="B176" s="100">
        <f>'Recycling - Case 3'!AP117</f>
        <v>4.5633516922949667E-2</v>
      </c>
      <c r="C176" s="473">
        <f>$B176*'Recycling - Case 3'!$AK117*'Recycling - Case 3'!BM117</f>
        <v>255.5419728933048</v>
      </c>
      <c r="D176" s="474">
        <f>$B176*'Recycling - Case 3'!$AK117*'Recycling - Case 3'!BN117</f>
        <v>266.88937230701725</v>
      </c>
      <c r="E176" s="474">
        <f>$B176*'Recycling - Case 3'!$AK117*'Recycling - Case 3'!BO117</f>
        <v>72.895589717553079</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284.9967112413695</v>
      </c>
      <c r="J176" s="663">
        <f t="shared" si="19"/>
        <v>880.32364615924462</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0.38508115806553461</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9.818706695687661</v>
      </c>
      <c r="R176" s="1181">
        <f t="shared" si="16"/>
        <v>10.203787853753196</v>
      </c>
      <c r="S176" s="430">
        <f>C176*'4C2 Open-burning '!$C$9*'4C2 Open-burning '!$C$11*$C$5</f>
        <v>0.99661369428388857</v>
      </c>
      <c r="T176" s="431">
        <f>D176*'4C2 Open-burning '!$C$9*'4C2 Open-burning '!$C$11*$C$5</f>
        <v>1.0408685519973673</v>
      </c>
      <c r="U176" s="431">
        <f>E176*'4C2 Open-burning '!$C$9*'4C2 Open-burning '!$C$11*$C$5</f>
        <v>0.28429279989845696</v>
      </c>
      <c r="V176" s="431">
        <f>F176*'4C2 Open-burning '!$C$9*'4C2 Open-burning '!$C$11*$C$5</f>
        <v>0</v>
      </c>
      <c r="W176" s="431">
        <f>G176*'4C2 Open-burning '!$C$9*'4C2 Open-burning '!$C$11*$C$5</f>
        <v>0</v>
      </c>
      <c r="X176" s="431">
        <f>H176*'4C2 Open-burning '!$C$9*'4C2 Open-burning '!$C$11*$C$5</f>
        <v>0</v>
      </c>
      <c r="Y176" s="431">
        <f>I176*'4C2 Open-burning '!$C$9*'4C2 Open-burning '!$C$11*$C$5</f>
        <v>1.111487173841341</v>
      </c>
      <c r="Z176" s="432">
        <f t="shared" si="17"/>
        <v>3.4332622200210539</v>
      </c>
      <c r="AA176" s="1333">
        <f>C176*'4C2 Open-burning '!$C$10*'4C2 Open-burning '!$C$11*$C$5*C$15</f>
        <v>9.1995110241589722E-3</v>
      </c>
      <c r="AB176" s="433">
        <f>D176*'4C2 Open-burning '!$C$10*'4C2 Open-burning '!$C$11*$C$5*D$15</f>
        <v>9.6080174030526207E-3</v>
      </c>
      <c r="AC176" s="433">
        <f>E176*'4C2 Open-burning '!$C$10*'4C2 Open-burning '!$C$11*$C$5*E$15</f>
        <v>5.9045427671217997E-3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2.3084733610550925E-2</v>
      </c>
      <c r="AH176" s="434">
        <f t="shared" si="18"/>
        <v>4.7796804804884317E-2</v>
      </c>
    </row>
    <row r="177" spans="1:34">
      <c r="A177" s="138">
        <f>'Input data'!A138</f>
        <v>2038</v>
      </c>
      <c r="B177" s="100">
        <f>'Recycling - Case 3'!AP118</f>
        <v>4.5360609115513109E-2</v>
      </c>
      <c r="C177" s="473">
        <f>$B177*'Recycling - Case 3'!$AK118*'Recycling - Case 3'!BM118</f>
        <v>254.92510239998455</v>
      </c>
      <c r="D177" s="474">
        <f>$B177*'Recycling - Case 3'!$AK118*'Recycling - Case 3'!BN118</f>
        <v>266.24510953917166</v>
      </c>
      <c r="E177" s="474">
        <f>$B177*'Recycling - Case 3'!$AK118*'Recycling - Case 3'!BO118</f>
        <v>72.719621997335494</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284.30873791210541</v>
      </c>
      <c r="J177" s="663">
        <f t="shared" si="19"/>
        <v>878.19857184859711</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0.38415158394800436</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9.7950046385478551</v>
      </c>
      <c r="R177" s="1181">
        <f t="shared" si="16"/>
        <v>10.179156222495859</v>
      </c>
      <c r="S177" s="430">
        <f>C177*'4C2 Open-burning '!$C$9*'4C2 Open-burning '!$C$11*$C$5</f>
        <v>0.99420789935993958</v>
      </c>
      <c r="T177" s="431">
        <f>D177*'4C2 Open-burning '!$C$9*'4C2 Open-burning '!$C$11*$C$5</f>
        <v>1.0383559272027696</v>
      </c>
      <c r="U177" s="431">
        <f>E177*'4C2 Open-burning '!$C$9*'4C2 Open-burning '!$C$11*$C$5</f>
        <v>0.28360652578960843</v>
      </c>
      <c r="V177" s="431">
        <f>F177*'4C2 Open-burning '!$C$9*'4C2 Open-burning '!$C$11*$C$5</f>
        <v>0</v>
      </c>
      <c r="W177" s="431">
        <f>G177*'4C2 Open-burning '!$C$9*'4C2 Open-burning '!$C$11*$C$5</f>
        <v>0</v>
      </c>
      <c r="X177" s="431">
        <f>H177*'4C2 Open-burning '!$C$9*'4C2 Open-burning '!$C$11*$C$5</f>
        <v>0</v>
      </c>
      <c r="Y177" s="431">
        <f>I177*'4C2 Open-burning '!$C$9*'4C2 Open-burning '!$C$11*$C$5</f>
        <v>1.108804077857211</v>
      </c>
      <c r="Z177" s="432">
        <f t="shared" si="17"/>
        <v>3.4249744302095286</v>
      </c>
      <c r="AA177" s="1333">
        <f>C177*'4C2 Open-burning '!$C$10*'4C2 Open-burning '!$C$11*$C$5*C$15</f>
        <v>9.1773036863994455E-3</v>
      </c>
      <c r="AB177" s="433">
        <f>D177*'4C2 Open-burning '!$C$10*'4C2 Open-burning '!$C$11*$C$5*D$15</f>
        <v>9.5848239434101808E-3</v>
      </c>
      <c r="AC177" s="433">
        <f>E177*'4C2 Open-burning '!$C$10*'4C2 Open-burning '!$C$11*$C$5*E$15</f>
        <v>5.8902893817841745E-3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2.3029007770880537E-2</v>
      </c>
      <c r="AH177" s="434">
        <f t="shared" si="18"/>
        <v>4.7681424782474335E-2</v>
      </c>
    </row>
    <row r="178" spans="1:34">
      <c r="A178" s="138">
        <f>'Input data'!A139</f>
        <v>2039</v>
      </c>
      <c r="B178" s="100">
        <f>'Recycling - Case 3'!AP119</f>
        <v>4.5089690262495104E-2</v>
      </c>
      <c r="C178" s="473">
        <f>$B178*'Recycling - Case 3'!$AK119*'Recycling - Case 3'!BM119</f>
        <v>254.31565406930503</v>
      </c>
      <c r="D178" s="474">
        <f>$B178*'Recycling - Case 3'!$AK119*'Recycling - Case 3'!BN119</f>
        <v>265.60859851678663</v>
      </c>
      <c r="E178" s="474">
        <f>$B178*'Recycling - Case 3'!$AK119*'Recycling - Case 3'!BO119</f>
        <v>72.545771514128134</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283.62904225213759</v>
      </c>
      <c r="J178" s="663">
        <f t="shared" si="19"/>
        <v>876.09906635235734</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0.38323319443139386</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9.7715877636706434</v>
      </c>
      <c r="R178" s="1181">
        <f t="shared" si="16"/>
        <v>10.154820958102038</v>
      </c>
      <c r="S178" s="430">
        <f>C178*'4C2 Open-burning '!$C$9*'4C2 Open-burning '!$C$11*$C$5</f>
        <v>0.99183105087028967</v>
      </c>
      <c r="T178" s="431">
        <f>D178*'4C2 Open-burning '!$C$9*'4C2 Open-burning '!$C$11*$C$5</f>
        <v>1.0358735342154677</v>
      </c>
      <c r="U178" s="431">
        <f>E178*'4C2 Open-burning '!$C$9*'4C2 Open-burning '!$C$11*$C$5</f>
        <v>0.28292850890509968</v>
      </c>
      <c r="V178" s="431">
        <f>F178*'4C2 Open-burning '!$C$9*'4C2 Open-burning '!$C$11*$C$5</f>
        <v>0</v>
      </c>
      <c r="W178" s="431">
        <f>G178*'4C2 Open-burning '!$C$9*'4C2 Open-burning '!$C$11*$C$5</f>
        <v>0</v>
      </c>
      <c r="X178" s="431">
        <f>H178*'4C2 Open-burning '!$C$9*'4C2 Open-burning '!$C$11*$C$5</f>
        <v>0</v>
      </c>
      <c r="Y178" s="431">
        <f>I178*'4C2 Open-burning '!$C$9*'4C2 Open-burning '!$C$11*$C$5</f>
        <v>1.1061532647833365</v>
      </c>
      <c r="Z178" s="432">
        <f t="shared" si="17"/>
        <v>3.4167863587741936</v>
      </c>
      <c r="AA178" s="1333">
        <f>C178*'4C2 Open-burning '!$C$10*'4C2 Open-burning '!$C$11*$C$5*C$15</f>
        <v>9.1553635464949809E-3</v>
      </c>
      <c r="AB178" s="433">
        <f>D178*'4C2 Open-burning '!$C$10*'4C2 Open-burning '!$C$11*$C$5*D$15</f>
        <v>9.5619095466043195E-3</v>
      </c>
      <c r="AC178" s="433">
        <f>E178*'4C2 Open-burning '!$C$10*'4C2 Open-burning '!$C$11*$C$5*E$15</f>
        <v>5.8762074926443789E-3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2.2973952422423144E-2</v>
      </c>
      <c r="AH178" s="434">
        <f t="shared" si="18"/>
        <v>4.7567433008166821E-2</v>
      </c>
    </row>
    <row r="179" spans="1:34">
      <c r="A179" s="138">
        <f>'Input data'!A140</f>
        <v>2040</v>
      </c>
      <c r="B179" s="100">
        <f>'Recycling - Case 3'!AP120</f>
        <v>4.4820733281477031E-2</v>
      </c>
      <c r="C179" s="473">
        <f>$B179*'Recycling - Case 3'!$AK120*'Recycling - Case 3'!BM120</f>
        <v>253.71351067170065</v>
      </c>
      <c r="D179" s="474">
        <f>$B179*'Recycling - Case 3'!$AK120*'Recycling - Case 3'!BN120</f>
        <v>264.97971680469095</v>
      </c>
      <c r="E179" s="474">
        <f>$B179*'Recycling - Case 3'!$AK120*'Recycling - Case 3'!BO120</f>
        <v>72.374004827168932</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282.95749351957534</v>
      </c>
      <c r="J179" s="663">
        <f t="shared" si="19"/>
        <v>874.0247258231359</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0.38232581286019568</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9.7484515667364082</v>
      </c>
      <c r="R179" s="1181">
        <f t="shared" si="16"/>
        <v>10.130777379596603</v>
      </c>
      <c r="S179" s="430">
        <f>C179*'4C2 Open-burning '!$C$9*'4C2 Open-burning '!$C$11*$C$5</f>
        <v>0.98948269161963232</v>
      </c>
      <c r="T179" s="431">
        <f>D179*'4C2 Open-burning '!$C$9*'4C2 Open-burning '!$C$11*$C$5</f>
        <v>1.0334208955382946</v>
      </c>
      <c r="U179" s="431">
        <f>E179*'4C2 Open-burning '!$C$9*'4C2 Open-burning '!$C$11*$C$5</f>
        <v>0.28225861882595882</v>
      </c>
      <c r="V179" s="431">
        <f>F179*'4C2 Open-burning '!$C$9*'4C2 Open-burning '!$C$11*$C$5</f>
        <v>0</v>
      </c>
      <c r="W179" s="431">
        <f>G179*'4C2 Open-burning '!$C$9*'4C2 Open-burning '!$C$11*$C$5</f>
        <v>0</v>
      </c>
      <c r="X179" s="431">
        <f>H179*'4C2 Open-burning '!$C$9*'4C2 Open-burning '!$C$11*$C$5</f>
        <v>0</v>
      </c>
      <c r="Y179" s="431">
        <f>I179*'4C2 Open-burning '!$C$9*'4C2 Open-burning '!$C$11*$C$5</f>
        <v>1.1035342247263438</v>
      </c>
      <c r="Z179" s="432">
        <f t="shared" si="17"/>
        <v>3.4086964307102301</v>
      </c>
      <c r="AA179" s="1333">
        <f>C179*'4C2 Open-burning '!$C$10*'4C2 Open-burning '!$C$11*$C$5*C$15</f>
        <v>9.1336863841812218E-3</v>
      </c>
      <c r="AB179" s="433">
        <f>D179*'4C2 Open-burning '!$C$10*'4C2 Open-burning '!$C$11*$C$5*D$15</f>
        <v>9.5392698049688741E-3</v>
      </c>
      <c r="AC179" s="433">
        <f>E179*'4C2 Open-burning '!$C$10*'4C2 Open-burning '!$C$11*$C$5*E$15</f>
        <v>5.8622943910006838E-3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2.2919556975085603E-2</v>
      </c>
      <c r="AH179" s="434">
        <f t="shared" si="18"/>
        <v>4.7454807555236386E-2</v>
      </c>
    </row>
    <row r="180" spans="1:34">
      <c r="A180" s="138">
        <f>'Input data'!A141</f>
        <v>2041</v>
      </c>
      <c r="B180" s="100">
        <f>'Recycling - Case 3'!AP121</f>
        <v>4.4593956313696254E-2</v>
      </c>
      <c r="C180" s="473">
        <f>$B180*'Recycling - Case 3'!$AK121*'Recycling - Case 3'!BM121</f>
        <v>253.20804435794963</v>
      </c>
      <c r="D180" s="474">
        <f>$B180*'Recycling - Case 3'!$AK121*'Recycling - Case 3'!BN121</f>
        <v>264.45180514434043</v>
      </c>
      <c r="E180" s="474">
        <f>$B180*'Recycling - Case 3'!$AK121*'Recycling - Case 3'!BO121</f>
        <v>72.229816126557225</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282.39376523873244</v>
      </c>
      <c r="J180" s="663">
        <f t="shared" si="19"/>
        <v>872.28343086757968</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0.38156411586279626</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9.7290300000048084</v>
      </c>
      <c r="R180" s="1181">
        <f t="shared" si="16"/>
        <v>10.110594115867604</v>
      </c>
      <c r="S180" s="430">
        <f>C180*'4C2 Open-burning '!$C$9*'4C2 Open-burning '!$C$11*$C$5</f>
        <v>0.98751137299600344</v>
      </c>
      <c r="T180" s="431">
        <f>D180*'4C2 Open-burning '!$C$9*'4C2 Open-burning '!$C$11*$C$5</f>
        <v>1.0313620400629275</v>
      </c>
      <c r="U180" s="431">
        <f>E180*'4C2 Open-burning '!$C$9*'4C2 Open-burning '!$C$11*$C$5</f>
        <v>0.28169628289357318</v>
      </c>
      <c r="V180" s="431">
        <f>F180*'4C2 Open-burning '!$C$9*'4C2 Open-burning '!$C$11*$C$5</f>
        <v>0</v>
      </c>
      <c r="W180" s="431">
        <f>G180*'4C2 Open-burning '!$C$9*'4C2 Open-burning '!$C$11*$C$5</f>
        <v>0</v>
      </c>
      <c r="X180" s="431">
        <f>H180*'4C2 Open-burning '!$C$9*'4C2 Open-burning '!$C$11*$C$5</f>
        <v>0</v>
      </c>
      <c r="Y180" s="431">
        <f>I180*'4C2 Open-burning '!$C$9*'4C2 Open-burning '!$C$11*$C$5</f>
        <v>1.1013356844310564</v>
      </c>
      <c r="Z180" s="432">
        <f t="shared" si="17"/>
        <v>3.4019053803835608</v>
      </c>
      <c r="AA180" s="1333">
        <f>C180*'4C2 Open-burning '!$C$10*'4C2 Open-burning '!$C$11*$C$5*C$15</f>
        <v>9.1154895968861872E-3</v>
      </c>
      <c r="AB180" s="433">
        <f>D180*'4C2 Open-burning '!$C$10*'4C2 Open-burning '!$C$11*$C$5*D$15</f>
        <v>9.5202649851962549E-3</v>
      </c>
      <c r="AC180" s="433">
        <f>E180*'4C2 Open-burning '!$C$10*'4C2 Open-burning '!$C$11*$C$5*E$15</f>
        <v>5.8506151062511355E-3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2.2873894984337326E-2</v>
      </c>
      <c r="AH180" s="434">
        <f t="shared" si="18"/>
        <v>4.7360264672670904E-2</v>
      </c>
    </row>
    <row r="181" spans="1:34">
      <c r="A181" s="138">
        <f>'Input data'!A142</f>
        <v>2042</v>
      </c>
      <c r="B181" s="100">
        <f>'Recycling - Case 3'!AP122</f>
        <v>4.4368557891718778E-2</v>
      </c>
      <c r="C181" s="473">
        <f>$B181*'Recycling - Case 3'!$AK122*'Recycling - Case 3'!BM122</f>
        <v>252.70768958160568</v>
      </c>
      <c r="D181" s="474">
        <f>$B181*'Recycling - Case 3'!$AK122*'Recycling - Case 3'!BN122</f>
        <v>263.92923200037785</v>
      </c>
      <c r="E181" s="474">
        <f>$B181*'Recycling - Case 3'!$AK122*'Recycling - Case 3'!BO122</f>
        <v>72.087085536836</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281.83573767051189</v>
      </c>
      <c r="J181" s="663">
        <f t="shared" si="19"/>
        <v>870.55974478933138</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0.3808101215403113</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9.7098048342244745</v>
      </c>
      <c r="R181" s="1181">
        <f t="shared" si="16"/>
        <v>10.090614955764785</v>
      </c>
      <c r="S181" s="430">
        <f>C181*'4C2 Open-burning '!$C$9*'4C2 Open-burning '!$C$11*$C$5</f>
        <v>0.98555998936826206</v>
      </c>
      <c r="T181" s="431">
        <f>D181*'4C2 Open-burning '!$C$9*'4C2 Open-burning '!$C$11*$C$5</f>
        <v>1.0293240048014736</v>
      </c>
      <c r="U181" s="431">
        <f>E181*'4C2 Open-burning '!$C$9*'4C2 Open-burning '!$C$11*$C$5</f>
        <v>0.2811396335936604</v>
      </c>
      <c r="V181" s="431">
        <f>F181*'4C2 Open-burning '!$C$9*'4C2 Open-burning '!$C$11*$C$5</f>
        <v>0</v>
      </c>
      <c r="W181" s="431">
        <f>G181*'4C2 Open-burning '!$C$9*'4C2 Open-burning '!$C$11*$C$5</f>
        <v>0</v>
      </c>
      <c r="X181" s="431">
        <f>H181*'4C2 Open-burning '!$C$9*'4C2 Open-burning '!$C$11*$C$5</f>
        <v>0</v>
      </c>
      <c r="Y181" s="431">
        <f>I181*'4C2 Open-burning '!$C$9*'4C2 Open-burning '!$C$11*$C$5</f>
        <v>1.0991593769149963</v>
      </c>
      <c r="Z181" s="432">
        <f t="shared" si="17"/>
        <v>3.3951830046783922</v>
      </c>
      <c r="AA181" s="1333">
        <f>C181*'4C2 Open-burning '!$C$10*'4C2 Open-burning '!$C$11*$C$5*C$15</f>
        <v>9.097476824937804E-3</v>
      </c>
      <c r="AB181" s="433">
        <f>D181*'4C2 Open-burning '!$C$10*'4C2 Open-burning '!$C$11*$C$5*D$15</f>
        <v>9.5014523520136028E-3</v>
      </c>
      <c r="AC181" s="433">
        <f>E181*'4C2 Open-burning '!$C$10*'4C2 Open-burning '!$C$11*$C$5*E$15</f>
        <v>5.8390539284837147E-3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2.2828694751311461E-2</v>
      </c>
      <c r="AH181" s="434">
        <f t="shared" si="18"/>
        <v>4.7266677856746583E-2</v>
      </c>
    </row>
    <row r="182" spans="1:34">
      <c r="A182" s="138">
        <f>'Input data'!A143</f>
        <v>2043</v>
      </c>
      <c r="B182" s="100">
        <f>'Recycling - Case 3'!AP123</f>
        <v>4.414452242519154E-2</v>
      </c>
      <c r="C182" s="473">
        <f>$B182*'Recycling - Case 3'!$AK123*'Recycling - Case 3'!BM123</f>
        <v>252.21237864369809</v>
      </c>
      <c r="D182" s="474">
        <f>$B182*'Recycling - Case 3'!$AK123*'Recycling - Case 3'!BN123</f>
        <v>263.41192666764431</v>
      </c>
      <c r="E182" s="474">
        <f>$B182*'Recycling - Case 3'!$AK123*'Recycling - Case 3'!BO123</f>
        <v>71.945793746279918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281.28333531270243</v>
      </c>
      <c r="J182" s="663">
        <f t="shared" si="19"/>
        <v>868.85343437032475</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0.38006372787584813</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9.6907734681932229</v>
      </c>
      <c r="R182" s="1181">
        <f t="shared" si="16"/>
        <v>10.070837196069071</v>
      </c>
      <c r="S182" s="430">
        <f>C182*'4C2 Open-burning '!$C$9*'4C2 Open-burning '!$C$11*$C$5</f>
        <v>0.98362827671042241</v>
      </c>
      <c r="T182" s="431">
        <f>D182*'4C2 Open-burning '!$C$9*'4C2 Open-burning '!$C$11*$C$5</f>
        <v>1.0273065140038129</v>
      </c>
      <c r="U182" s="431">
        <f>E182*'4C2 Open-burning '!$C$9*'4C2 Open-burning '!$C$11*$C$5</f>
        <v>0.28058859561049165</v>
      </c>
      <c r="V182" s="431">
        <f>F182*'4C2 Open-burning '!$C$9*'4C2 Open-burning '!$C$11*$C$5</f>
        <v>0</v>
      </c>
      <c r="W182" s="431">
        <f>G182*'4C2 Open-burning '!$C$9*'4C2 Open-burning '!$C$11*$C$5</f>
        <v>0</v>
      </c>
      <c r="X182" s="431">
        <f>H182*'4C2 Open-burning '!$C$9*'4C2 Open-burning '!$C$11*$C$5</f>
        <v>0</v>
      </c>
      <c r="Y182" s="431">
        <f>I182*'4C2 Open-burning '!$C$9*'4C2 Open-burning '!$C$11*$C$5</f>
        <v>1.0970050077195395</v>
      </c>
      <c r="Z182" s="432">
        <f t="shared" si="17"/>
        <v>3.3885283940442661</v>
      </c>
      <c r="AA182" s="1333">
        <f>C182*'4C2 Open-burning '!$C$10*'4C2 Open-burning '!$C$11*$C$5*C$15</f>
        <v>9.0796456311731302E-3</v>
      </c>
      <c r="AB182" s="433">
        <f>D182*'4C2 Open-burning '!$C$10*'4C2 Open-burning '!$C$11*$C$5*D$15</f>
        <v>9.4828293600351943E-3</v>
      </c>
      <c r="AC182" s="433">
        <f>E182*'4C2 Open-burning '!$C$10*'4C2 Open-burning '!$C$11*$C$5*E$15</f>
        <v>5.8276092934486743E-3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2.2783950160328897E-2</v>
      </c>
      <c r="AH182" s="434">
        <f t="shared" si="18"/>
        <v>4.7174034444985899E-2</v>
      </c>
    </row>
    <row r="183" spans="1:34">
      <c r="A183" s="138">
        <f>'Input data'!A144</f>
        <v>2044</v>
      </c>
      <c r="B183" s="100">
        <f>'Recycling - Case 3'!AP124</f>
        <v>4.3921834607905885E-2</v>
      </c>
      <c r="C183" s="473">
        <f>$B183*'Recycling - Case 3'!$AK124*'Recycling - Case 3'!BM124</f>
        <v>251.72204501185507</v>
      </c>
      <c r="D183" s="474">
        <f>$B183*'Recycling - Case 3'!$AK124*'Recycling - Case 3'!BN124</f>
        <v>262.8998196593829</v>
      </c>
      <c r="E183" s="474">
        <f>$B183*'Recycling - Case 3'!$AK124*'Recycling - Case 3'!BO124</f>
        <v>71.805921775946217</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280.73648396415842</v>
      </c>
      <c r="J183" s="663">
        <f t="shared" si="19"/>
        <v>867.16427041134261</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0.3793248346104845</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9.6719333455331853</v>
      </c>
      <c r="R183" s="1181">
        <f t="shared" si="16"/>
        <v>10.05125818014367</v>
      </c>
      <c r="S183" s="430">
        <f>C183*'4C2 Open-burning '!$C$9*'4C2 Open-burning '!$C$11*$C$5</f>
        <v>0.98171597554623469</v>
      </c>
      <c r="T183" s="431">
        <f>D183*'4C2 Open-burning '!$C$9*'4C2 Open-burning '!$C$11*$C$5</f>
        <v>1.0253092966715933</v>
      </c>
      <c r="U183" s="431">
        <f>E183*'4C2 Open-burning '!$C$9*'4C2 Open-burning '!$C$11*$C$5</f>
        <v>0.28004309492619023</v>
      </c>
      <c r="V183" s="431">
        <f>F183*'4C2 Open-burning '!$C$9*'4C2 Open-burning '!$C$11*$C$5</f>
        <v>0</v>
      </c>
      <c r="W183" s="431">
        <f>G183*'4C2 Open-burning '!$C$9*'4C2 Open-burning '!$C$11*$C$5</f>
        <v>0</v>
      </c>
      <c r="X183" s="431">
        <f>H183*'4C2 Open-burning '!$C$9*'4C2 Open-burning '!$C$11*$C$5</f>
        <v>0</v>
      </c>
      <c r="Y183" s="431">
        <f>I183*'4C2 Open-burning '!$C$9*'4C2 Open-burning '!$C$11*$C$5</f>
        <v>1.0948722874602177</v>
      </c>
      <c r="Z183" s="432">
        <f t="shared" si="17"/>
        <v>3.3819406546042359</v>
      </c>
      <c r="AA183" s="1333">
        <f>C183*'4C2 Open-burning '!$C$10*'4C2 Open-burning '!$C$11*$C$5*C$15</f>
        <v>9.061993620426782E-3</v>
      </c>
      <c r="AB183" s="433">
        <f>D183*'4C2 Open-burning '!$C$10*'4C2 Open-burning '!$C$11*$C$5*D$15</f>
        <v>9.4643935077377856E-3</v>
      </c>
      <c r="AC183" s="433">
        <f>E183*'4C2 Open-burning '!$C$10*'4C2 Open-burning '!$C$11*$C$5*E$15</f>
        <v>5.8162796638516435E-3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2.2739655201096831E-2</v>
      </c>
      <c r="AH183" s="434">
        <f t="shared" si="18"/>
        <v>4.7082321993113047E-2</v>
      </c>
    </row>
    <row r="184" spans="1:34">
      <c r="A184" s="138">
        <f>'Input data'!A145</f>
        <v>2045</v>
      </c>
      <c r="B184" s="100">
        <f>'Recycling - Case 3'!AP125</f>
        <v>4.3700479411766198E-2</v>
      </c>
      <c r="C184" s="473">
        <f>$B184*'Recycling - Case 3'!$AK125*'Recycling - Case 3'!BM125</f>
        <v>251.23662329524964</v>
      </c>
      <c r="D184" s="474">
        <f>$B184*'Recycling - Case 3'!$AK125*'Recycling - Case 3'!BN125</f>
        <v>262.39284268107218</v>
      </c>
      <c r="E184" s="474">
        <f>$B184*'Recycling - Case 3'!$AK125*'Recycling - Case 3'!BO125</f>
        <v>71.667450972527817</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280.19511069685785</v>
      </c>
      <c r="J184" s="663">
        <f t="shared" si="19"/>
        <v>865.49202764570759</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0.37859334320551435</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9.6532819537281451</v>
      </c>
      <c r="R184" s="1181">
        <f t="shared" si="16"/>
        <v>10.031875296933659</v>
      </c>
      <c r="S184" s="430">
        <f>C184*'4C2 Open-burning '!$C$9*'4C2 Open-burning '!$C$11*$C$5</f>
        <v>0.97982283085147348</v>
      </c>
      <c r="T184" s="431">
        <f>D184*'4C2 Open-burning '!$C$9*'4C2 Open-burning '!$C$11*$C$5</f>
        <v>1.0233320864561815</v>
      </c>
      <c r="U184" s="431">
        <f>E184*'4C2 Open-burning '!$C$9*'4C2 Open-burning '!$C$11*$C$5</f>
        <v>0.27950305879285847</v>
      </c>
      <c r="V184" s="431">
        <f>F184*'4C2 Open-burning '!$C$9*'4C2 Open-burning '!$C$11*$C$5</f>
        <v>0</v>
      </c>
      <c r="W184" s="431">
        <f>G184*'4C2 Open-burning '!$C$9*'4C2 Open-burning '!$C$11*$C$5</f>
        <v>0</v>
      </c>
      <c r="X184" s="431">
        <f>H184*'4C2 Open-burning '!$C$9*'4C2 Open-burning '!$C$11*$C$5</f>
        <v>0</v>
      </c>
      <c r="Y184" s="431">
        <f>I184*'4C2 Open-burning '!$C$9*'4C2 Open-burning '!$C$11*$C$5</f>
        <v>1.0927609317177456</v>
      </c>
      <c r="Z184" s="432">
        <f t="shared" si="17"/>
        <v>3.3754189078182595</v>
      </c>
      <c r="AA184" s="1333">
        <f>C184*'4C2 Open-burning '!$C$10*'4C2 Open-burning '!$C$11*$C$5*C$15</f>
        <v>9.044518438628987E-3</v>
      </c>
      <c r="AB184" s="433">
        <f>D184*'4C2 Open-burning '!$C$10*'4C2 Open-burning '!$C$11*$C$5*D$15</f>
        <v>9.4461423365185971E-3</v>
      </c>
      <c r="AC184" s="433">
        <f>E184*'4C2 Open-burning '!$C$10*'4C2 Open-burning '!$C$11*$C$5*E$15</f>
        <v>5.8050635287747523E-3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2.2695803966445483E-2</v>
      </c>
      <c r="AH184" s="434">
        <f t="shared" si="18"/>
        <v>4.6991528270367816E-2</v>
      </c>
    </row>
    <row r="185" spans="1:34">
      <c r="A185" s="138">
        <f>'Input data'!A146</f>
        <v>2046</v>
      </c>
      <c r="B185" s="100">
        <f>'Recycling - Case 3'!AP126</f>
        <v>4.3519432813026476E-2</v>
      </c>
      <c r="C185" s="473">
        <f>$B185*'Recycling - Case 3'!$AK126*'Recycling - Case 3'!BM126</f>
        <v>250.84106476572731</v>
      </c>
      <c r="D185" s="474">
        <f>$B185*'Recycling - Case 3'!$AK126*'Recycling - Case 3'!BN126</f>
        <v>261.97971928510077</v>
      </c>
      <c r="E185" s="474">
        <f>$B185*'Recycling - Case 3'!$AK126*'Recycling - Case 3'!BO126</f>
        <v>71.554614431622738</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279.75395858888533</v>
      </c>
      <c r="J185" s="663">
        <f t="shared" si="19"/>
        <v>864.12935707133613</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0.37799726838106751</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9.638083381304277</v>
      </c>
      <c r="R185" s="1181">
        <f t="shared" si="16"/>
        <v>10.016080649685344</v>
      </c>
      <c r="S185" s="430">
        <f>C185*'4C2 Open-burning '!$C$9*'4C2 Open-burning '!$C$11*$C$5</f>
        <v>0.97828015258633649</v>
      </c>
      <c r="T185" s="431">
        <f>D185*'4C2 Open-burning '!$C$9*'4C2 Open-burning '!$C$11*$C$5</f>
        <v>1.021720905211893</v>
      </c>
      <c r="U185" s="431">
        <f>E185*'4C2 Open-burning '!$C$9*'4C2 Open-burning '!$C$11*$C$5</f>
        <v>0.2790629962833287</v>
      </c>
      <c r="V185" s="431">
        <f>F185*'4C2 Open-burning '!$C$9*'4C2 Open-burning '!$C$11*$C$5</f>
        <v>0</v>
      </c>
      <c r="W185" s="431">
        <f>G185*'4C2 Open-burning '!$C$9*'4C2 Open-burning '!$C$11*$C$5</f>
        <v>0</v>
      </c>
      <c r="X185" s="431">
        <f>H185*'4C2 Open-burning '!$C$9*'4C2 Open-burning '!$C$11*$C$5</f>
        <v>0</v>
      </c>
      <c r="Y185" s="431">
        <f>I185*'4C2 Open-burning '!$C$9*'4C2 Open-burning '!$C$11*$C$5</f>
        <v>1.0910404384966528</v>
      </c>
      <c r="Z185" s="432">
        <f t="shared" si="17"/>
        <v>3.3701044925782111</v>
      </c>
      <c r="AA185" s="1333">
        <f>C185*'4C2 Open-burning '!$C$10*'4C2 Open-burning '!$C$11*$C$5*C$15</f>
        <v>9.0302783315661835E-3</v>
      </c>
      <c r="AB185" s="433">
        <f>D185*'4C2 Open-burning '!$C$10*'4C2 Open-burning '!$C$11*$C$5*D$15</f>
        <v>9.4312698942636275E-3</v>
      </c>
      <c r="AC185" s="433">
        <f>E185*'4C2 Open-burning '!$C$10*'4C2 Open-burning '!$C$11*$C$5*E$15</f>
        <v>5.7959237689614411E-3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2.2660070645699713E-2</v>
      </c>
      <c r="AH185" s="434">
        <f t="shared" si="18"/>
        <v>4.6917542640490965E-2</v>
      </c>
    </row>
    <row r="186" spans="1:34">
      <c r="A186" s="138">
        <f>'Input data'!A147</f>
        <v>2047</v>
      </c>
      <c r="B186" s="100">
        <f>'Recycling - Case 3'!AP127</f>
        <v>4.3339269389548955E-2</v>
      </c>
      <c r="C186" s="473">
        <f>$B186*'Recycling - Case 3'!$AK127*'Recycling - Case 3'!BM127</f>
        <v>250.44874940831926</v>
      </c>
      <c r="D186" s="474">
        <f>$B186*'Recycling - Case 3'!$AK127*'Recycling - Case 3'!BN127</f>
        <v>261.56998307503892</v>
      </c>
      <c r="E186" s="474">
        <f>$B186*'Recycling - Case 3'!$AK127*'Recycling - Case 3'!BO127</f>
        <v>71.442703034016631</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279.31642347336265</v>
      </c>
      <c r="J186" s="663">
        <f t="shared" si="19"/>
        <v>862.77785899073751</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0.3774060807556176</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9.623009421504289</v>
      </c>
      <c r="R186" s="1181">
        <f t="shared" si="16"/>
        <v>10.000415502259907</v>
      </c>
      <c r="S186" s="430">
        <f>C186*'4C2 Open-burning '!$C$9*'4C2 Open-burning '!$C$11*$C$5</f>
        <v>0.9767501226924451</v>
      </c>
      <c r="T186" s="431">
        <f>D186*'4C2 Open-burning '!$C$9*'4C2 Open-burning '!$C$11*$C$5</f>
        <v>1.0201229339926516</v>
      </c>
      <c r="U186" s="431">
        <f>E186*'4C2 Open-burning '!$C$9*'4C2 Open-burning '!$C$11*$C$5</f>
        <v>0.27862654183266483</v>
      </c>
      <c r="V186" s="431">
        <f>F186*'4C2 Open-burning '!$C$9*'4C2 Open-burning '!$C$11*$C$5</f>
        <v>0</v>
      </c>
      <c r="W186" s="431">
        <f>G186*'4C2 Open-burning '!$C$9*'4C2 Open-burning '!$C$11*$C$5</f>
        <v>0</v>
      </c>
      <c r="X186" s="431">
        <f>H186*'4C2 Open-burning '!$C$9*'4C2 Open-burning '!$C$11*$C$5</f>
        <v>0</v>
      </c>
      <c r="Y186" s="431">
        <f>I186*'4C2 Open-burning '!$C$9*'4C2 Open-burning '!$C$11*$C$5</f>
        <v>1.0893340515461141</v>
      </c>
      <c r="Z186" s="432">
        <f t="shared" si="17"/>
        <v>3.3648336500638756</v>
      </c>
      <c r="AA186" s="1333">
        <f>C186*'4C2 Open-burning '!$C$10*'4C2 Open-burning '!$C$11*$C$5*C$15</f>
        <v>9.0161549786994932E-3</v>
      </c>
      <c r="AB186" s="433">
        <f>D186*'4C2 Open-burning '!$C$10*'4C2 Open-burning '!$C$11*$C$5*D$15</f>
        <v>9.4165193907014E-3</v>
      </c>
      <c r="AC186" s="433">
        <f>E186*'4C2 Open-burning '!$C$10*'4C2 Open-burning '!$C$11*$C$5*E$15</f>
        <v>5.7868589457553471E-3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2.2624630301342374E-2</v>
      </c>
      <c r="AH186" s="434">
        <f t="shared" si="18"/>
        <v>4.6844163616498617E-2</v>
      </c>
    </row>
    <row r="187" spans="1:34">
      <c r="A187" s="138">
        <f>'Input data'!A148</f>
        <v>2048</v>
      </c>
      <c r="B187" s="100">
        <f>'Recycling - Case 3'!AP128</f>
        <v>4.3159981189882027E-2</v>
      </c>
      <c r="C187" s="473">
        <f>$B187*'Recycling - Case 3'!$AK128*'Recycling - Case 3'!BM128</f>
        <v>250.05964252346925</v>
      </c>
      <c r="D187" s="474">
        <f>$B187*'Recycling - Case 3'!$AK128*'Recycling - Case 3'!BN128</f>
        <v>261.16359781048857</v>
      </c>
      <c r="E187" s="474">
        <f>$B187*'Recycling - Case 3'!$AK128*'Recycling - Case 3'!BO128</f>
        <v>71.331706881356638</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278.88246665113081</v>
      </c>
      <c r="J187" s="663">
        <f t="shared" si="19"/>
        <v>861.43741386644535</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0.3768197280397298</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9.6080587410647578</v>
      </c>
      <c r="R187" s="1181">
        <f t="shared" si="16"/>
        <v>9.984878469104487</v>
      </c>
      <c r="S187" s="430">
        <f>C187*'4C2 Open-burning '!$C$9*'4C2 Open-burning '!$C$11*$C$5</f>
        <v>0.97523260584153004</v>
      </c>
      <c r="T187" s="431">
        <f>D187*'4C2 Open-burning '!$C$9*'4C2 Open-burning '!$C$11*$C$5</f>
        <v>1.0185380314609054</v>
      </c>
      <c r="U187" s="431">
        <f>E187*'4C2 Open-burning '!$C$9*'4C2 Open-burning '!$C$11*$C$5</f>
        <v>0.27819365683729086</v>
      </c>
      <c r="V187" s="431">
        <f>F187*'4C2 Open-burning '!$C$9*'4C2 Open-burning '!$C$11*$C$5</f>
        <v>0</v>
      </c>
      <c r="W187" s="431">
        <f>G187*'4C2 Open-burning '!$C$9*'4C2 Open-burning '!$C$11*$C$5</f>
        <v>0</v>
      </c>
      <c r="X187" s="431">
        <f>H187*'4C2 Open-burning '!$C$9*'4C2 Open-burning '!$C$11*$C$5</f>
        <v>0</v>
      </c>
      <c r="Y187" s="431">
        <f>I187*'4C2 Open-burning '!$C$9*'4C2 Open-burning '!$C$11*$C$5</f>
        <v>1.0876416199394101</v>
      </c>
      <c r="Z187" s="432">
        <f t="shared" si="17"/>
        <v>3.3596059140791361</v>
      </c>
      <c r="AA187" s="1333">
        <f>C187*'4C2 Open-burning '!$C$10*'4C2 Open-burning '!$C$11*$C$5*C$15</f>
        <v>9.0021471308448908E-3</v>
      </c>
      <c r="AB187" s="433">
        <f>D187*'4C2 Open-burning '!$C$10*'4C2 Open-burning '!$C$11*$C$5*D$15</f>
        <v>9.401889521177589E-3</v>
      </c>
      <c r="AC187" s="433">
        <f>E187*'4C2 Open-burning '!$C$10*'4C2 Open-burning '!$C$11*$C$5*E$15</f>
        <v>5.7778682573898874E-3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2.2589479798741593E-2</v>
      </c>
      <c r="AH187" s="434">
        <f t="shared" si="18"/>
        <v>4.6771384708153965E-2</v>
      </c>
    </row>
    <row r="188" spans="1:34">
      <c r="A188" s="138">
        <f>'Input data'!A149</f>
        <v>2049</v>
      </c>
      <c r="B188" s="100">
        <f>'Recycling - Case 3'!AP129</f>
        <v>4.2981560380265717E-2</v>
      </c>
      <c r="C188" s="473">
        <f>$B188*'Recycling - Case 3'!$AK129*'Recycling - Case 3'!BM129</f>
        <v>249.6737098943648</v>
      </c>
      <c r="D188" s="474">
        <f>$B188*'Recycling - Case 3'!$AK129*'Recycling - Case 3'!BN129</f>
        <v>260.76052775523203</v>
      </c>
      <c r="E188" s="474">
        <f>$B188*'Recycling - Case 3'!$AK129*'Recycling - Case 3'!BO129</f>
        <v>71.221616212996807</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278.45204996141769</v>
      </c>
      <c r="J188" s="663">
        <f t="shared" si="19"/>
        <v>860.10790382401137</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0.37623815867142546</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9.5932300252707616</v>
      </c>
      <c r="R188" s="1181">
        <f t="shared" si="16"/>
        <v>9.9694681839421868</v>
      </c>
      <c r="S188" s="430">
        <f>C188*'4C2 Open-burning '!$C$9*'4C2 Open-burning '!$C$11*$C$5</f>
        <v>0.97372746858802262</v>
      </c>
      <c r="T188" s="431">
        <f>D188*'4C2 Open-burning '!$C$9*'4C2 Open-burning '!$C$11*$C$5</f>
        <v>1.0169660582454048</v>
      </c>
      <c r="U188" s="431">
        <f>E188*'4C2 Open-burning '!$C$9*'4C2 Open-burning '!$C$11*$C$5</f>
        <v>0.27776430323068751</v>
      </c>
      <c r="V188" s="431">
        <f>F188*'4C2 Open-burning '!$C$9*'4C2 Open-burning '!$C$11*$C$5</f>
        <v>0</v>
      </c>
      <c r="W188" s="431">
        <f>G188*'4C2 Open-burning '!$C$9*'4C2 Open-burning '!$C$11*$C$5</f>
        <v>0</v>
      </c>
      <c r="X188" s="431">
        <f>H188*'4C2 Open-burning '!$C$9*'4C2 Open-burning '!$C$11*$C$5</f>
        <v>0</v>
      </c>
      <c r="Y188" s="431">
        <f>I188*'4C2 Open-burning '!$C$9*'4C2 Open-burning '!$C$11*$C$5</f>
        <v>1.0859629948495289</v>
      </c>
      <c r="Z188" s="432">
        <f t="shared" si="17"/>
        <v>3.3544208249136438</v>
      </c>
      <c r="AA188" s="1333">
        <f>C188*'4C2 Open-burning '!$C$10*'4C2 Open-burning '!$C$11*$C$5*C$15</f>
        <v>8.9882535561971334E-3</v>
      </c>
      <c r="AB188" s="433">
        <f>D188*'4C2 Open-burning '!$C$10*'4C2 Open-burning '!$C$11*$C$5*D$15</f>
        <v>9.3873789991883536E-3</v>
      </c>
      <c r="AC188" s="433">
        <f>E188*'4C2 Open-burning '!$C$10*'4C2 Open-burning '!$C$11*$C$5*E$15</f>
        <v>5.7689509132527409E-3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2.2554616046874833E-2</v>
      </c>
      <c r="AH188" s="434">
        <f t="shared" si="18"/>
        <v>4.669919951551306E-2</v>
      </c>
    </row>
    <row r="189" spans="1:34" ht="15" thickBot="1">
      <c r="A189" s="824">
        <f>'Input data'!A150</f>
        <v>2050</v>
      </c>
      <c r="B189" s="581">
        <f>'Recycling - Case 3'!AP130</f>
        <v>4.2803999242601289E-2</v>
      </c>
      <c r="C189" s="598">
        <f>$B189*'Recycling - Case 3'!$AK130*'Recycling - Case 3'!BM130</f>
        <v>249.29091777856027</v>
      </c>
      <c r="D189" s="595">
        <f>$B189*'Recycling - Case 3'!$AK130*'Recycling - Case 3'!BN130</f>
        <v>260.36073766848256</v>
      </c>
      <c r="E189" s="595">
        <f>$B189*'Recycling - Case 3'!$AK130*'Recycling - Case 3'!BO130</f>
        <v>71.112421403608479</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278.0251357724951</v>
      </c>
      <c r="J189" s="814">
        <f t="shared" si="19"/>
        <v>858.78921262314634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0.37566132180355827</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9.5785219776340007</v>
      </c>
      <c r="R189" s="1182">
        <f t="shared" si="16"/>
        <v>9.9541832994375596</v>
      </c>
      <c r="S189" s="436">
        <f>C189*'4C2 Open-burning '!$C$9*'4C2 Open-burning '!$C$11*$C$5</f>
        <v>0.97223457933638491</v>
      </c>
      <c r="T189" s="437">
        <f>D189*'4C2 Open-burning '!$C$9*'4C2 Open-burning '!$C$11*$C$5</f>
        <v>1.0154068769070819</v>
      </c>
      <c r="U189" s="437">
        <f>E189*'4C2 Open-burning '!$C$9*'4C2 Open-burning '!$C$11*$C$5</f>
        <v>0.27733844347407305</v>
      </c>
      <c r="V189" s="437">
        <f>F189*'4C2 Open-burning '!$C$9*'4C2 Open-burning '!$C$11*$C$5</f>
        <v>0</v>
      </c>
      <c r="W189" s="437">
        <f>G189*'4C2 Open-burning '!$C$9*'4C2 Open-burning '!$C$11*$C$5</f>
        <v>0</v>
      </c>
      <c r="X189" s="437">
        <f>H189*'4C2 Open-burning '!$C$9*'4C2 Open-burning '!$C$11*$C$5</f>
        <v>0</v>
      </c>
      <c r="Y189" s="437">
        <f>I189*'4C2 Open-burning '!$C$9*'4C2 Open-burning '!$C$11*$C$5</f>
        <v>1.0842980295127309</v>
      </c>
      <c r="Z189" s="438">
        <f t="shared" si="17"/>
        <v>3.3492779292302708</v>
      </c>
      <c r="AA189" s="1334">
        <f>C189*'4C2 Open-burning '!$C$10*'4C2 Open-burning '!$C$11*$C$5*C$15</f>
        <v>8.9744730400281702E-3</v>
      </c>
      <c r="AB189" s="1335">
        <f>D189*'4C2 Open-burning '!$C$10*'4C2 Open-burning '!$C$11*$C$5*D$15</f>
        <v>9.3729865560653724E-3</v>
      </c>
      <c r="AC189" s="1335">
        <f>E189*'4C2 Open-burning '!$C$10*'4C2 Open-burning '!$C$11*$C$5*E$15</f>
        <v>5.7601061336922865E-3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2.2520035997572106E-2</v>
      </c>
      <c r="AH189" s="439">
        <f t="shared" si="18"/>
        <v>4.6627601727357935E-2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4.4"/>
  <cols>
    <col min="1" max="1" width="80.109375" customWidth="1"/>
    <col min="2" max="2" width="22.33203125" customWidth="1"/>
    <col min="3" max="5" width="28.44140625" customWidth="1"/>
    <col min="6" max="6" width="25.5546875" customWidth="1"/>
    <col min="7" max="7" width="26" customWidth="1"/>
    <col min="8" max="8" width="12.109375" customWidth="1"/>
    <col min="9" max="9" width="18.6640625" customWidth="1"/>
    <col min="13" max="13" width="15.44140625" customWidth="1"/>
    <col min="19" max="19" width="12.88671875" customWidth="1"/>
    <col min="23" max="23" width="7.44140625" bestFit="1" customWidth="1"/>
    <col min="24" max="24" width="14" bestFit="1" customWidth="1"/>
    <col min="25" max="25" width="13.44140625" customWidth="1"/>
    <col min="26" max="26" width="15" customWidth="1"/>
    <col min="27" max="27" width="12.33203125" customWidth="1"/>
    <col min="28" max="28" width="15.5546875" customWidth="1"/>
    <col min="29" max="29" width="12.33203125" customWidth="1"/>
    <col min="30" max="30" width="14.33203125" customWidth="1"/>
    <col min="31" max="31" width="11.33203125" bestFit="1" customWidth="1"/>
    <col min="32" max="32" width="15.109375" customWidth="1"/>
    <col min="33" max="33" width="11.33203125" bestFit="1" customWidth="1"/>
    <col min="34" max="34" width="10.33203125" bestFit="1" customWidth="1"/>
    <col min="35" max="35" width="13.6640625" customWidth="1"/>
    <col min="36" max="36" width="15.44140625" customWidth="1"/>
    <col min="37" max="38" width="11.33203125" bestFit="1" customWidth="1"/>
    <col min="39" max="39" width="16.6640625" customWidth="1"/>
    <col min="40" max="40" width="15.6640625" customWidth="1"/>
    <col min="41" max="41" width="15.109375" customWidth="1"/>
    <col min="42" max="42" width="13.44140625" customWidth="1"/>
    <col min="43" max="43" width="15.33203125" customWidth="1"/>
    <col min="44" max="44" width="12.6640625" customWidth="1"/>
    <col min="45" max="45" width="21.33203125" customWidth="1"/>
    <col min="46" max="46" width="12.33203125" bestFit="1" customWidth="1"/>
    <col min="47" max="47" width="17.109375" customWidth="1"/>
    <col min="48" max="48" width="14.6640625" customWidth="1"/>
    <col min="49" max="49" width="18.664062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 thickBot="1">
      <c r="A53" s="141"/>
      <c r="B53" s="142"/>
      <c r="C53" s="122"/>
      <c r="D53" s="122"/>
      <c r="E53" s="122"/>
      <c r="F53" s="142"/>
      <c r="G53" s="142"/>
      <c r="H53" s="142"/>
      <c r="I53" s="123"/>
    </row>
    <row r="54" spans="1:49" ht="15" thickBot="1"/>
    <row r="55" spans="1:49" ht="74.400000000000006" customHeight="1">
      <c r="A55" s="1497" t="s">
        <v>217</v>
      </c>
      <c r="B55" s="491" t="s">
        <v>218</v>
      </c>
      <c r="C55" s="492" t="s">
        <v>501</v>
      </c>
      <c r="D55" s="493" t="s">
        <v>504</v>
      </c>
      <c r="E55" s="494" t="s">
        <v>296</v>
      </c>
      <c r="F55" s="495" t="s">
        <v>309</v>
      </c>
      <c r="G55" s="496" t="s">
        <v>310</v>
      </c>
      <c r="H55" s="1532" t="s">
        <v>6</v>
      </c>
      <c r="I55" s="1595"/>
      <c r="J55" s="1595"/>
      <c r="K55" s="1595"/>
      <c r="L55" s="1595"/>
      <c r="M55" s="1533"/>
      <c r="N55" s="1532" t="s">
        <v>298</v>
      </c>
      <c r="O55" s="1595"/>
      <c r="P55" s="1595"/>
      <c r="Q55" s="1595"/>
      <c r="R55" s="1595"/>
      <c r="S55" s="1533"/>
      <c r="T55" s="1532" t="s">
        <v>299</v>
      </c>
      <c r="U55" s="1595"/>
      <c r="V55" s="1595"/>
      <c r="W55" s="1595"/>
      <c r="X55" s="1595"/>
      <c r="Y55" s="1533"/>
      <c r="Z55" s="1703" t="s">
        <v>308</v>
      </c>
      <c r="AA55" s="1570"/>
      <c r="AB55" s="1570"/>
      <c r="AC55" s="1570"/>
      <c r="AD55" s="1570"/>
      <c r="AE55" s="1570"/>
      <c r="AF55" s="1571"/>
      <c r="AG55" s="1703" t="s">
        <v>307</v>
      </c>
      <c r="AH55" s="1570"/>
      <c r="AI55" s="1570"/>
      <c r="AJ55" s="1570"/>
      <c r="AK55" s="1570"/>
      <c r="AL55" s="1570"/>
      <c r="AM55" s="1571"/>
      <c r="AN55" s="1703" t="s">
        <v>306</v>
      </c>
      <c r="AO55" s="1570"/>
      <c r="AP55" s="1570"/>
      <c r="AQ55" s="1570"/>
      <c r="AR55" s="1570"/>
      <c r="AS55" s="1570"/>
      <c r="AT55" s="1571"/>
      <c r="AU55" s="218" t="s">
        <v>311</v>
      </c>
      <c r="AV55" s="213" t="s">
        <v>305</v>
      </c>
      <c r="AW55" s="215" t="s">
        <v>313</v>
      </c>
    </row>
    <row r="56" spans="1:49" ht="58.2"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6"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59.308690000000006</v>
      </c>
      <c r="C128" s="100">
        <f>'Recycling - Case 1'!E100</f>
        <v>0.74072727272727268</v>
      </c>
      <c r="D128" s="471">
        <f>'Recycling - Case 1'!F100</f>
        <v>0.29665909090909087</v>
      </c>
      <c r="E128" s="203">
        <f t="shared" si="76"/>
        <v>923110846.86362517</v>
      </c>
      <c r="F128" s="204">
        <v>0</v>
      </c>
      <c r="G128" s="205">
        <f t="shared" si="78"/>
        <v>923110846.86362517</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11706723.921588704</v>
      </c>
      <c r="AA128" s="204">
        <f t="shared" si="101"/>
        <v>0</v>
      </c>
      <c r="AB128" s="204">
        <f t="shared" si="102"/>
        <v>11706723.921588704</v>
      </c>
      <c r="AC128" s="204">
        <f t="shared" si="103"/>
        <v>6555765.396089674</v>
      </c>
      <c r="AD128" s="204">
        <f t="shared" si="104"/>
        <v>936537.91372709605</v>
      </c>
      <c r="AE128" s="204">
        <f t="shared" si="105"/>
        <v>0</v>
      </c>
      <c r="AF128" s="210">
        <f t="shared" si="80"/>
        <v>30905751.152994178</v>
      </c>
      <c r="AG128" s="203">
        <f t="shared" si="106"/>
        <v>0</v>
      </c>
      <c r="AH128" s="204">
        <f t="shared" si="107"/>
        <v>0</v>
      </c>
      <c r="AI128" s="204">
        <f t="shared" si="108"/>
        <v>4984798.5730635757</v>
      </c>
      <c r="AJ128" s="204">
        <f t="shared" si="109"/>
        <v>996959.71461271506</v>
      </c>
      <c r="AK128" s="204">
        <f t="shared" si="110"/>
        <v>0</v>
      </c>
      <c r="AL128" s="204">
        <f t="shared" si="111"/>
        <v>0</v>
      </c>
      <c r="AM128" s="210">
        <f t="shared" si="81"/>
        <v>5981758.2876762906</v>
      </c>
      <c r="AN128" s="203">
        <f t="shared" si="112"/>
        <v>47185650.12911316</v>
      </c>
      <c r="AO128" s="204">
        <f t="shared" si="113"/>
        <v>0</v>
      </c>
      <c r="AP128" s="204">
        <f t="shared" si="114"/>
        <v>23592825.06455658</v>
      </c>
      <c r="AQ128" s="204">
        <f t="shared" si="115"/>
        <v>33307517.738197528</v>
      </c>
      <c r="AR128" s="204">
        <f t="shared" si="116"/>
        <v>1387813.239091564</v>
      </c>
      <c r="AS128" s="204">
        <f t="shared" si="82"/>
        <v>0</v>
      </c>
      <c r="AT128" s="210">
        <f t="shared" si="83"/>
        <v>105473806.17095883</v>
      </c>
      <c r="AU128" s="222">
        <v>0</v>
      </c>
      <c r="AV128" s="214">
        <f t="shared" si="84"/>
        <v>142.36131561162929</v>
      </c>
      <c r="AW128" s="225">
        <f t="shared" si="77"/>
        <v>2.9904262793007734</v>
      </c>
    </row>
    <row r="129" spans="1:49">
      <c r="A129" s="166">
        <f>'Input data'!A121</f>
        <v>2021</v>
      </c>
      <c r="B129" s="177">
        <f>'Input data'!B121</f>
        <v>59.991580449204264</v>
      </c>
      <c r="C129" s="100">
        <f>'Recycling - Case 1'!E101</f>
        <v>0.74936969696969691</v>
      </c>
      <c r="D129" s="471">
        <f>'Recycling - Case 1'!F101</f>
        <v>0.29901212121212117</v>
      </c>
      <c r="E129" s="203">
        <f t="shared" si="76"/>
        <v>933739703.79639542</v>
      </c>
      <c r="F129" s="204">
        <v>0</v>
      </c>
      <c r="G129" s="205">
        <f t="shared" si="78"/>
        <v>933739703.79639542</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12147104.692114931</v>
      </c>
      <c r="AA129" s="204">
        <f t="shared" si="101"/>
        <v>0</v>
      </c>
      <c r="AB129" s="204">
        <f t="shared" si="102"/>
        <v>12147104.692114931</v>
      </c>
      <c r="AC129" s="204">
        <f t="shared" si="103"/>
        <v>6802378.6275843596</v>
      </c>
      <c r="AD129" s="204">
        <f t="shared" si="104"/>
        <v>971768.37536919396</v>
      </c>
      <c r="AE129" s="204">
        <f t="shared" si="105"/>
        <v>0</v>
      </c>
      <c r="AF129" s="210">
        <f t="shared" si="80"/>
        <v>32068356.387183417</v>
      </c>
      <c r="AG129" s="203">
        <f t="shared" si="106"/>
        <v>0</v>
      </c>
      <c r="AH129" s="204">
        <f t="shared" si="107"/>
        <v>0</v>
      </c>
      <c r="AI129" s="204">
        <f t="shared" si="108"/>
        <v>5042194.400500535</v>
      </c>
      <c r="AJ129" s="204">
        <f t="shared" si="109"/>
        <v>1008438.8801001071</v>
      </c>
      <c r="AK129" s="204">
        <f t="shared" si="110"/>
        <v>0</v>
      </c>
      <c r="AL129" s="204">
        <f t="shared" si="111"/>
        <v>0</v>
      </c>
      <c r="AM129" s="210">
        <f t="shared" si="81"/>
        <v>6050633.2806006419</v>
      </c>
      <c r="AN129" s="203">
        <f t="shared" si="112"/>
        <v>48082501.619857289</v>
      </c>
      <c r="AO129" s="204">
        <f t="shared" si="113"/>
        <v>0</v>
      </c>
      <c r="AP129" s="204">
        <f t="shared" si="114"/>
        <v>24041250.809928644</v>
      </c>
      <c r="AQ129" s="204">
        <f t="shared" si="115"/>
        <v>33940589.378722802</v>
      </c>
      <c r="AR129" s="204">
        <f t="shared" si="116"/>
        <v>1414191.2241134502</v>
      </c>
      <c r="AS129" s="204">
        <f t="shared" si="82"/>
        <v>0</v>
      </c>
      <c r="AT129" s="210">
        <f t="shared" si="83"/>
        <v>107478533.03262219</v>
      </c>
      <c r="AU129" s="222">
        <v>0</v>
      </c>
      <c r="AV129" s="214">
        <f t="shared" si="84"/>
        <v>145.59752270040624</v>
      </c>
      <c r="AW129" s="225">
        <f t="shared" si="77"/>
        <v>3.0248585614028385</v>
      </c>
    </row>
    <row r="130" spans="1:49">
      <c r="A130" s="166">
        <f>'Input data'!A122</f>
        <v>2022</v>
      </c>
      <c r="B130" s="177">
        <f>'Input data'!B122</f>
        <v>60.682333816399378</v>
      </c>
      <c r="C130" s="100">
        <f>'Recycling - Case 1'!E102</f>
        <v>0.75801212121212114</v>
      </c>
      <c r="D130" s="471">
        <f>'Recycling - Case 1'!F102</f>
        <v>0.30136515151515147</v>
      </c>
      <c r="E130" s="203">
        <f t="shared" si="76"/>
        <v>944490943.21452093</v>
      </c>
      <c r="F130" s="204">
        <v>0</v>
      </c>
      <c r="G130" s="205">
        <f t="shared" si="78"/>
        <v>944490943.21452093</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12596074.669960931</v>
      </c>
      <c r="AA130" s="204">
        <f t="shared" si="101"/>
        <v>0</v>
      </c>
      <c r="AB130" s="204">
        <f t="shared" si="102"/>
        <v>12596074.669960931</v>
      </c>
      <c r="AC130" s="204">
        <f t="shared" si="103"/>
        <v>7053801.8151781214</v>
      </c>
      <c r="AD130" s="204">
        <f t="shared" si="104"/>
        <v>1007685.973596874</v>
      </c>
      <c r="AE130" s="204">
        <f t="shared" si="105"/>
        <v>0</v>
      </c>
      <c r="AF130" s="210">
        <f t="shared" si="80"/>
        <v>33253637.128696859</v>
      </c>
      <c r="AG130" s="203">
        <f t="shared" si="106"/>
        <v>0</v>
      </c>
      <c r="AH130" s="204">
        <f t="shared" si="107"/>
        <v>0</v>
      </c>
      <c r="AI130" s="204">
        <f t="shared" si="108"/>
        <v>5100251.0933584133</v>
      </c>
      <c r="AJ130" s="204">
        <f t="shared" si="109"/>
        <v>1020050.2186716824</v>
      </c>
      <c r="AK130" s="204">
        <f t="shared" si="110"/>
        <v>0</v>
      </c>
      <c r="AL130" s="204">
        <f t="shared" si="111"/>
        <v>0</v>
      </c>
      <c r="AM130" s="210">
        <f t="shared" si="81"/>
        <v>6120301.3120300956</v>
      </c>
      <c r="AN130" s="203">
        <f t="shared" si="112"/>
        <v>48993750.422992878</v>
      </c>
      <c r="AO130" s="204">
        <f t="shared" si="113"/>
        <v>0</v>
      </c>
      <c r="AP130" s="204">
        <f t="shared" si="114"/>
        <v>24496875.211496439</v>
      </c>
      <c r="AQ130" s="204">
        <f t="shared" si="115"/>
        <v>34583823.82799498</v>
      </c>
      <c r="AR130" s="204">
        <f t="shared" si="116"/>
        <v>1440992.659499791</v>
      </c>
      <c r="AS130" s="204">
        <f t="shared" si="82"/>
        <v>0</v>
      </c>
      <c r="AT130" s="210">
        <f t="shared" si="83"/>
        <v>109515442.12198409</v>
      </c>
      <c r="AU130" s="222">
        <v>0</v>
      </c>
      <c r="AV130" s="214">
        <f t="shared" si="84"/>
        <v>148.88938056271107</v>
      </c>
      <c r="AW130" s="225">
        <f t="shared" si="77"/>
        <v>3.0596873027184164</v>
      </c>
    </row>
    <row r="131" spans="1:49">
      <c r="A131" s="166">
        <f>'Input data'!A123</f>
        <v>2023</v>
      </c>
      <c r="B131" s="177">
        <f>'Input data'!B123</f>
        <v>61.381040636574369</v>
      </c>
      <c r="C131" s="100">
        <f>'Recycling - Case 1'!E103</f>
        <v>0.76665454545454537</v>
      </c>
      <c r="D131" s="471">
        <f>'Recycling - Case 1'!F103</f>
        <v>0.30371818181818178</v>
      </c>
      <c r="E131" s="203">
        <f t="shared" si="76"/>
        <v>955365974.25096989</v>
      </c>
      <c r="F131" s="204">
        <v>0</v>
      </c>
      <c r="G131" s="205">
        <f t="shared" si="78"/>
        <v>955365974.25096989</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13053773.266356438</v>
      </c>
      <c r="AA131" s="204">
        <f t="shared" si="101"/>
        <v>0</v>
      </c>
      <c r="AB131" s="204">
        <f t="shared" si="102"/>
        <v>13053773.266356438</v>
      </c>
      <c r="AC131" s="204">
        <f t="shared" si="103"/>
        <v>7310113.0291596027</v>
      </c>
      <c r="AD131" s="204">
        <f t="shared" si="104"/>
        <v>1044301.8613085144</v>
      </c>
      <c r="AE131" s="204">
        <f t="shared" si="105"/>
        <v>0</v>
      </c>
      <c r="AF131" s="210">
        <f t="shared" si="80"/>
        <v>34461961.42318099</v>
      </c>
      <c r="AG131" s="203">
        <f t="shared" si="106"/>
        <v>0</v>
      </c>
      <c r="AH131" s="204">
        <f t="shared" si="107"/>
        <v>0</v>
      </c>
      <c r="AI131" s="204">
        <f t="shared" si="108"/>
        <v>5158976.2609552369</v>
      </c>
      <c r="AJ131" s="204">
        <f t="shared" si="109"/>
        <v>1031795.2521910473</v>
      </c>
      <c r="AK131" s="204">
        <f t="shared" si="110"/>
        <v>0</v>
      </c>
      <c r="AL131" s="204">
        <f t="shared" si="111"/>
        <v>0</v>
      </c>
      <c r="AM131" s="210">
        <f t="shared" si="81"/>
        <v>6190771.513146284</v>
      </c>
      <c r="AN131" s="203">
        <f t="shared" si="112"/>
        <v>49919609.183657259</v>
      </c>
      <c r="AO131" s="204">
        <f t="shared" si="113"/>
        <v>0</v>
      </c>
      <c r="AP131" s="204">
        <f t="shared" si="114"/>
        <v>24959804.591828629</v>
      </c>
      <c r="AQ131" s="204">
        <f t="shared" si="115"/>
        <v>35237371.188463956</v>
      </c>
      <c r="AR131" s="204">
        <f t="shared" si="116"/>
        <v>1468223.7995193319</v>
      </c>
      <c r="AS131" s="204">
        <f t="shared" si="82"/>
        <v>0</v>
      </c>
      <c r="AT131" s="210">
        <f t="shared" si="83"/>
        <v>111585008.76346917</v>
      </c>
      <c r="AU131" s="222">
        <v>0</v>
      </c>
      <c r="AV131" s="214">
        <f t="shared" si="84"/>
        <v>152.23774169979643</v>
      </c>
      <c r="AW131" s="225">
        <f t="shared" si="77"/>
        <v>3.0949170681470224</v>
      </c>
    </row>
    <row r="132" spans="1:49">
      <c r="A132" s="166">
        <f>'Input data'!A124</f>
        <v>2024</v>
      </c>
      <c r="B132" s="177">
        <f>'Input data'!B124</f>
        <v>62.087792487153699</v>
      </c>
      <c r="C132" s="100">
        <f>'Recycling - Case 1'!E104</f>
        <v>0.7752969696969696</v>
      </c>
      <c r="D132" s="471">
        <f>'Recycling - Case 1'!F104</f>
        <v>0.30607121212121208</v>
      </c>
      <c r="E132" s="203">
        <f t="shared" si="76"/>
        <v>966366222.26371002</v>
      </c>
      <c r="F132" s="204">
        <v>0</v>
      </c>
      <c r="G132" s="205">
        <f t="shared" si="78"/>
        <v>966366222.26371002</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13520341.964216821</v>
      </c>
      <c r="AA132" s="204">
        <f t="shared" si="101"/>
        <v>0</v>
      </c>
      <c r="AB132" s="204">
        <f t="shared" si="102"/>
        <v>13520341.964216821</v>
      </c>
      <c r="AC132" s="204">
        <f t="shared" si="103"/>
        <v>7571391.4999614181</v>
      </c>
      <c r="AD132" s="204">
        <f t="shared" si="104"/>
        <v>1081627.357137345</v>
      </c>
      <c r="AE132" s="204">
        <f t="shared" si="105"/>
        <v>0</v>
      </c>
      <c r="AF132" s="210">
        <f t="shared" si="80"/>
        <v>35693702.785532407</v>
      </c>
      <c r="AG132" s="203">
        <f t="shared" si="106"/>
        <v>0</v>
      </c>
      <c r="AH132" s="204">
        <f t="shared" si="107"/>
        <v>0</v>
      </c>
      <c r="AI132" s="204">
        <f t="shared" si="108"/>
        <v>5218377.6002240339</v>
      </c>
      <c r="AJ132" s="204">
        <f t="shared" si="109"/>
        <v>1043675.5200448068</v>
      </c>
      <c r="AK132" s="204">
        <f t="shared" si="110"/>
        <v>0</v>
      </c>
      <c r="AL132" s="204">
        <f t="shared" si="111"/>
        <v>0</v>
      </c>
      <c r="AM132" s="210">
        <f t="shared" si="81"/>
        <v>6262053.1202688403</v>
      </c>
      <c r="AN132" s="203">
        <f t="shared" si="112"/>
        <v>50860293.535112806</v>
      </c>
      <c r="AO132" s="204">
        <f t="shared" si="113"/>
        <v>0</v>
      </c>
      <c r="AP132" s="204">
        <f t="shared" si="114"/>
        <v>25430146.767556403</v>
      </c>
      <c r="AQ132" s="204">
        <f t="shared" si="115"/>
        <v>35901383.671844348</v>
      </c>
      <c r="AR132" s="204">
        <f t="shared" si="116"/>
        <v>1495890.9863268479</v>
      </c>
      <c r="AS132" s="204">
        <f t="shared" si="82"/>
        <v>0</v>
      </c>
      <c r="AT132" s="210">
        <f t="shared" si="83"/>
        <v>113687714.9608404</v>
      </c>
      <c r="AU132" s="222">
        <v>0</v>
      </c>
      <c r="AV132" s="214">
        <f t="shared" si="84"/>
        <v>155.64347086664165</v>
      </c>
      <c r="AW132" s="225">
        <f t="shared" si="77"/>
        <v>3.1305524751492158</v>
      </c>
    </row>
    <row r="133" spans="1:49">
      <c r="A133" s="166">
        <f>'Input data'!A125</f>
        <v>2025</v>
      </c>
      <c r="B133" s="177">
        <f>'Input data'!B125</f>
        <v>62.802682000000026</v>
      </c>
      <c r="C133" s="100">
        <f>'Recycling - Case 1'!E105</f>
        <v>0.78393939393939382</v>
      </c>
      <c r="D133" s="471">
        <f>'Recycling - Case 1'!F105</f>
        <v>0.30842424242424238</v>
      </c>
      <c r="E133" s="203">
        <f t="shared" si="76"/>
        <v>977493129.02252555</v>
      </c>
      <c r="F133" s="204">
        <v>0</v>
      </c>
      <c r="G133" s="205">
        <f t="shared" si="78"/>
        <v>977493129.02252555</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13995924.347367985</v>
      </c>
      <c r="AA133" s="204">
        <f t="shared" si="101"/>
        <v>0</v>
      </c>
      <c r="AB133" s="204">
        <f t="shared" si="102"/>
        <v>13995924.347367985</v>
      </c>
      <c r="AC133" s="204">
        <f t="shared" si="103"/>
        <v>7837717.6345260702</v>
      </c>
      <c r="AD133" s="204">
        <f t="shared" si="104"/>
        <v>1119673.9477894378</v>
      </c>
      <c r="AE133" s="204">
        <f t="shared" si="105"/>
        <v>0</v>
      </c>
      <c r="AF133" s="210">
        <f t="shared" si="80"/>
        <v>36949240.277051479</v>
      </c>
      <c r="AG133" s="203">
        <f t="shared" si="106"/>
        <v>0</v>
      </c>
      <c r="AH133" s="204">
        <f t="shared" si="107"/>
        <v>0</v>
      </c>
      <c r="AI133" s="204">
        <f t="shared" si="108"/>
        <v>5278462.8967216378</v>
      </c>
      <c r="AJ133" s="204">
        <f t="shared" si="109"/>
        <v>1055692.5793443273</v>
      </c>
      <c r="AK133" s="204">
        <f t="shared" si="110"/>
        <v>0</v>
      </c>
      <c r="AL133" s="204">
        <f t="shared" si="111"/>
        <v>0</v>
      </c>
      <c r="AM133" s="210">
        <f t="shared" si="81"/>
        <v>6334155.4760659654</v>
      </c>
      <c r="AN133" s="203">
        <f t="shared" si="112"/>
        <v>51816022.139366776</v>
      </c>
      <c r="AO133" s="204">
        <f t="shared" si="113"/>
        <v>0</v>
      </c>
      <c r="AP133" s="204">
        <f t="shared" si="114"/>
        <v>25908011.069683388</v>
      </c>
      <c r="AQ133" s="204">
        <f t="shared" si="115"/>
        <v>36576015.627788328</v>
      </c>
      <c r="AR133" s="204">
        <f t="shared" si="116"/>
        <v>1524000.6511578471</v>
      </c>
      <c r="AS133" s="204">
        <f t="shared" si="82"/>
        <v>0</v>
      </c>
      <c r="AT133" s="210">
        <f t="shared" si="83"/>
        <v>115824049.48799632</v>
      </c>
      <c r="AU133" s="222">
        <v>0</v>
      </c>
      <c r="AV133" s="214">
        <f t="shared" si="84"/>
        <v>159.10744524111379</v>
      </c>
      <c r="AW133" s="225">
        <f t="shared" si="77"/>
        <v>3.166598194351784</v>
      </c>
    </row>
    <row r="134" spans="1:49">
      <c r="A134" s="166">
        <f>'Input data'!A126</f>
        <v>2026</v>
      </c>
      <c r="B134" s="177">
        <f>'Input data'!B126</f>
        <v>63.421065342005143</v>
      </c>
      <c r="C134" s="100">
        <f>'Recycling - Case 1'!E106</f>
        <v>0.79258181818181805</v>
      </c>
      <c r="D134" s="471">
        <f>'Recycling - Case 1'!F106</f>
        <v>0.31077727272727268</v>
      </c>
      <c r="E134" s="203">
        <f t="shared" si="76"/>
        <v>987117964.27895594</v>
      </c>
      <c r="F134" s="204">
        <v>0</v>
      </c>
      <c r="G134" s="205">
        <f t="shared" si="78"/>
        <v>987117964.27895594</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14456791.276849082</v>
      </c>
      <c r="AA134" s="204">
        <f t="shared" si="101"/>
        <v>0</v>
      </c>
      <c r="AB134" s="204">
        <f t="shared" si="102"/>
        <v>14456791.276849082</v>
      </c>
      <c r="AC134" s="204">
        <f t="shared" si="103"/>
        <v>8095803.1150354818</v>
      </c>
      <c r="AD134" s="204">
        <f t="shared" si="104"/>
        <v>1156543.3021479254</v>
      </c>
      <c r="AE134" s="204">
        <f t="shared" si="105"/>
        <v>0</v>
      </c>
      <c r="AF134" s="210">
        <f t="shared" si="80"/>
        <v>38165928.970881566</v>
      </c>
      <c r="AG134" s="203">
        <f t="shared" si="106"/>
        <v>0</v>
      </c>
      <c r="AH134" s="204">
        <f t="shared" si="107"/>
        <v>0</v>
      </c>
      <c r="AI134" s="204">
        <f t="shared" si="108"/>
        <v>5330437.0071063619</v>
      </c>
      <c r="AJ134" s="204">
        <f t="shared" si="109"/>
        <v>1066087.4014212722</v>
      </c>
      <c r="AK134" s="204">
        <f t="shared" si="110"/>
        <v>0</v>
      </c>
      <c r="AL134" s="204">
        <f t="shared" si="111"/>
        <v>0</v>
      </c>
      <c r="AM134" s="210">
        <f t="shared" si="81"/>
        <v>6396524.4085276341</v>
      </c>
      <c r="AN134" s="203">
        <f t="shared" si="112"/>
        <v>52699984.662934631</v>
      </c>
      <c r="AO134" s="204">
        <f t="shared" si="113"/>
        <v>0</v>
      </c>
      <c r="AP134" s="204">
        <f t="shared" si="114"/>
        <v>26349992.331467316</v>
      </c>
      <c r="AQ134" s="204">
        <f t="shared" si="115"/>
        <v>37199989.173836231</v>
      </c>
      <c r="AR134" s="204">
        <f t="shared" si="116"/>
        <v>1549999.548909843</v>
      </c>
      <c r="AS134" s="204">
        <f t="shared" si="82"/>
        <v>0</v>
      </c>
      <c r="AT134" s="210">
        <f t="shared" si="83"/>
        <v>117799965.71714802</v>
      </c>
      <c r="AU134" s="222">
        <v>0</v>
      </c>
      <c r="AV134" s="214">
        <f t="shared" si="84"/>
        <v>162.36241909655723</v>
      </c>
      <c r="AW134" s="225">
        <f t="shared" si="77"/>
        <v>3.1977779387807019</v>
      </c>
    </row>
    <row r="135" spans="1:49">
      <c r="A135" s="166">
        <f>'Input data'!A127</f>
        <v>2027</v>
      </c>
      <c r="B135" s="177">
        <f>'Input data'!B127</f>
        <v>64.045537563425796</v>
      </c>
      <c r="C135" s="100">
        <f>'Recycling - Case 1'!E107</f>
        <v>0.80122424242424228</v>
      </c>
      <c r="D135" s="471">
        <f>'Recycling - Case 1'!F107</f>
        <v>0.31313030303030298</v>
      </c>
      <c r="E135" s="203">
        <f t="shared" si="76"/>
        <v>996837569.97516036</v>
      </c>
      <c r="F135" s="204">
        <v>0</v>
      </c>
      <c r="G135" s="205">
        <f t="shared" si="78"/>
        <v>996837569.97516036</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14925377.070446271</v>
      </c>
      <c r="AA135" s="204">
        <f t="shared" si="101"/>
        <v>0</v>
      </c>
      <c r="AB135" s="204">
        <f t="shared" si="102"/>
        <v>14925377.070446271</v>
      </c>
      <c r="AC135" s="204">
        <f t="shared" si="103"/>
        <v>8358211.1594499107</v>
      </c>
      <c r="AD135" s="204">
        <f t="shared" si="104"/>
        <v>1194030.1656357006</v>
      </c>
      <c r="AE135" s="204">
        <f t="shared" si="105"/>
        <v>0</v>
      </c>
      <c r="AF135" s="210">
        <f t="shared" si="80"/>
        <v>39402995.465978153</v>
      </c>
      <c r="AG135" s="203">
        <f t="shared" si="106"/>
        <v>0</v>
      </c>
      <c r="AH135" s="204">
        <f t="shared" si="107"/>
        <v>0</v>
      </c>
      <c r="AI135" s="204">
        <f t="shared" si="108"/>
        <v>5382922.8778658658</v>
      </c>
      <c r="AJ135" s="204">
        <f t="shared" si="109"/>
        <v>1076584.5755731731</v>
      </c>
      <c r="AK135" s="204">
        <f t="shared" si="110"/>
        <v>0</v>
      </c>
      <c r="AL135" s="204">
        <f t="shared" si="111"/>
        <v>0</v>
      </c>
      <c r="AM135" s="210">
        <f t="shared" si="81"/>
        <v>6459507.4534390392</v>
      </c>
      <c r="AN135" s="203">
        <f t="shared" si="112"/>
        <v>53596331.273673534</v>
      </c>
      <c r="AO135" s="204">
        <f t="shared" si="113"/>
        <v>0</v>
      </c>
      <c r="AP135" s="204">
        <f t="shared" si="114"/>
        <v>26798165.636836767</v>
      </c>
      <c r="AQ135" s="204">
        <f t="shared" si="115"/>
        <v>37832704.428475462</v>
      </c>
      <c r="AR135" s="204">
        <f t="shared" si="116"/>
        <v>1576362.6845198111</v>
      </c>
      <c r="AS135" s="204">
        <f t="shared" si="82"/>
        <v>0</v>
      </c>
      <c r="AT135" s="210">
        <f t="shared" si="83"/>
        <v>119803564.02350558</v>
      </c>
      <c r="AU135" s="222">
        <v>0</v>
      </c>
      <c r="AV135" s="214">
        <f t="shared" si="84"/>
        <v>165.66606694292278</v>
      </c>
      <c r="AW135" s="225">
        <f t="shared" si="77"/>
        <v>3.2292646929415123</v>
      </c>
    </row>
    <row r="136" spans="1:49">
      <c r="A136" s="166">
        <f>'Input data'!A128</f>
        <v>2028</v>
      </c>
      <c r="B136" s="177">
        <f>'Input data'!B128</f>
        <v>64.676158618096451</v>
      </c>
      <c r="C136" s="100">
        <f>'Recycling - Case 1'!E108</f>
        <v>0.80986666666666651</v>
      </c>
      <c r="D136" s="471">
        <f>'Recycling - Case 1'!F108</f>
        <v>0.31548333333333328</v>
      </c>
      <c r="E136" s="203">
        <f t="shared" si="76"/>
        <v>1006652879.2633451</v>
      </c>
      <c r="F136" s="204">
        <v>0</v>
      </c>
      <c r="G136" s="205">
        <f t="shared" si="78"/>
        <v>1006652879.2633451</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15401789.052729189</v>
      </c>
      <c r="AA136" s="204">
        <f t="shared" si="101"/>
        <v>0</v>
      </c>
      <c r="AB136" s="204">
        <f t="shared" si="102"/>
        <v>15401789.052729189</v>
      </c>
      <c r="AC136" s="204">
        <f t="shared" si="103"/>
        <v>8625001.869528342</v>
      </c>
      <c r="AD136" s="204">
        <f t="shared" si="104"/>
        <v>1232143.1242183337</v>
      </c>
      <c r="AE136" s="204">
        <f t="shared" si="105"/>
        <v>0</v>
      </c>
      <c r="AF136" s="210">
        <f t="shared" si="80"/>
        <v>40660723.099205054</v>
      </c>
      <c r="AG136" s="203">
        <f t="shared" si="106"/>
        <v>0</v>
      </c>
      <c r="AH136" s="204">
        <f t="shared" si="107"/>
        <v>0</v>
      </c>
      <c r="AI136" s="204">
        <f t="shared" si="108"/>
        <v>5435925.5480220634</v>
      </c>
      <c r="AJ136" s="204">
        <f t="shared" si="109"/>
        <v>1087185.1096044125</v>
      </c>
      <c r="AK136" s="204">
        <f t="shared" si="110"/>
        <v>0</v>
      </c>
      <c r="AL136" s="204">
        <f t="shared" si="111"/>
        <v>0</v>
      </c>
      <c r="AM136" s="210">
        <f t="shared" si="81"/>
        <v>6523110.6576264761</v>
      </c>
      <c r="AN136" s="203">
        <f t="shared" si="112"/>
        <v>54505220.14771381</v>
      </c>
      <c r="AO136" s="204">
        <f t="shared" si="113"/>
        <v>0</v>
      </c>
      <c r="AP136" s="204">
        <f t="shared" si="114"/>
        <v>27252610.073856905</v>
      </c>
      <c r="AQ136" s="204">
        <f t="shared" si="115"/>
        <v>38474273.045445062</v>
      </c>
      <c r="AR136" s="204">
        <f t="shared" si="116"/>
        <v>1603094.7102268778</v>
      </c>
      <c r="AS136" s="204">
        <f t="shared" si="82"/>
        <v>0</v>
      </c>
      <c r="AT136" s="210">
        <f t="shared" si="83"/>
        <v>121835197.97724266</v>
      </c>
      <c r="AU136" s="222">
        <v>0</v>
      </c>
      <c r="AV136" s="214">
        <f t="shared" si="84"/>
        <v>169.01903173407416</v>
      </c>
      <c r="AW136" s="225">
        <f t="shared" si="77"/>
        <v>3.2610614797895683</v>
      </c>
    </row>
    <row r="137" spans="1:49">
      <c r="A137" s="166">
        <f>'Input data'!A129</f>
        <v>2029</v>
      </c>
      <c r="B137" s="177">
        <f>'Input data'!B129</f>
        <v>65.31298905018393</v>
      </c>
      <c r="C137" s="100">
        <f>'Recycling - Case 1'!E109</f>
        <v>0.81850909090909074</v>
      </c>
      <c r="D137" s="471">
        <f>'Recycling - Case 1'!F109</f>
        <v>0.31783636363636358</v>
      </c>
      <c r="E137" s="203">
        <f t="shared" si="76"/>
        <v>1016564834.483951</v>
      </c>
      <c r="F137" s="204">
        <v>0</v>
      </c>
      <c r="G137" s="205">
        <f t="shared" si="78"/>
        <v>1016564834.483951</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15886135.913435567</v>
      </c>
      <c r="AA137" s="204">
        <f t="shared" si="101"/>
        <v>0</v>
      </c>
      <c r="AB137" s="204">
        <f t="shared" si="102"/>
        <v>15886135.913435567</v>
      </c>
      <c r="AC137" s="204">
        <f t="shared" si="103"/>
        <v>8896236.1115239151</v>
      </c>
      <c r="AD137" s="204">
        <f t="shared" si="104"/>
        <v>1270890.873074844</v>
      </c>
      <c r="AE137" s="204">
        <f t="shared" si="105"/>
        <v>0</v>
      </c>
      <c r="AF137" s="210">
        <f t="shared" si="80"/>
        <v>41939398.811469898</v>
      </c>
      <c r="AG137" s="203">
        <f t="shared" si="106"/>
        <v>0</v>
      </c>
      <c r="AH137" s="204">
        <f t="shared" si="107"/>
        <v>0</v>
      </c>
      <c r="AI137" s="204">
        <f t="shared" si="108"/>
        <v>5489450.1062133349</v>
      </c>
      <c r="AJ137" s="204">
        <f t="shared" si="109"/>
        <v>1097890.021242667</v>
      </c>
      <c r="AK137" s="204">
        <f t="shared" si="110"/>
        <v>0</v>
      </c>
      <c r="AL137" s="204">
        <f t="shared" si="111"/>
        <v>0</v>
      </c>
      <c r="AM137" s="210">
        <f t="shared" si="81"/>
        <v>6587340.1274560019</v>
      </c>
      <c r="AN137" s="203">
        <f t="shared" si="112"/>
        <v>55426811.375463113</v>
      </c>
      <c r="AO137" s="204">
        <f t="shared" si="113"/>
        <v>0</v>
      </c>
      <c r="AP137" s="204">
        <f t="shared" si="114"/>
        <v>27713405.687731557</v>
      </c>
      <c r="AQ137" s="204">
        <f t="shared" si="115"/>
        <v>39124808.029738694</v>
      </c>
      <c r="AR137" s="204">
        <f t="shared" si="116"/>
        <v>1630200.3345724458</v>
      </c>
      <c r="AS137" s="204">
        <f t="shared" si="82"/>
        <v>0</v>
      </c>
      <c r="AT137" s="210">
        <f t="shared" si="83"/>
        <v>123895225.42750581</v>
      </c>
      <c r="AU137" s="222">
        <v>0</v>
      </c>
      <c r="AV137" s="214">
        <f t="shared" si="84"/>
        <v>172.42196436643172</v>
      </c>
      <c r="AW137" s="225">
        <f t="shared" si="77"/>
        <v>3.2931713520456056</v>
      </c>
    </row>
    <row r="138" spans="1:49">
      <c r="A138" s="108">
        <f>'Input data'!A130</f>
        <v>2030</v>
      </c>
      <c r="B138" s="177">
        <f>'Input data'!B130</f>
        <v>65.956090000000003</v>
      </c>
      <c r="C138" s="100">
        <f>'Recycling - Case 1'!E110</f>
        <v>0.82715151515151497</v>
      </c>
      <c r="D138" s="471">
        <f>'Recycling - Case 1'!F110</f>
        <v>0.32018939393939388</v>
      </c>
      <c r="E138" s="203">
        <f t="shared" si="76"/>
        <v>1026574387.2561252</v>
      </c>
      <c r="F138" s="204">
        <v>0</v>
      </c>
      <c r="G138" s="205">
        <f t="shared" si="78"/>
        <v>1026574387.2561252</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16378527.723950006</v>
      </c>
      <c r="AA138" s="204">
        <f t="shared" si="101"/>
        <v>0</v>
      </c>
      <c r="AB138" s="204">
        <f t="shared" si="102"/>
        <v>16378527.723950006</v>
      </c>
      <c r="AC138" s="204">
        <f t="shared" si="103"/>
        <v>9171975.5254120007</v>
      </c>
      <c r="AD138" s="204">
        <f t="shared" si="104"/>
        <v>1310282.2179159988</v>
      </c>
      <c r="AE138" s="204">
        <f t="shared" si="105"/>
        <v>0</v>
      </c>
      <c r="AF138" s="210">
        <f t="shared" si="80"/>
        <v>43239313.19122801</v>
      </c>
      <c r="AG138" s="203">
        <f t="shared" si="106"/>
        <v>0</v>
      </c>
      <c r="AH138" s="204">
        <f t="shared" si="107"/>
        <v>0</v>
      </c>
      <c r="AI138" s="204">
        <f t="shared" si="108"/>
        <v>5543501.6911830753</v>
      </c>
      <c r="AJ138" s="204">
        <f t="shared" si="109"/>
        <v>1108700.3382366151</v>
      </c>
      <c r="AK138" s="204">
        <f t="shared" si="110"/>
        <v>0</v>
      </c>
      <c r="AL138" s="204">
        <f t="shared" si="111"/>
        <v>0</v>
      </c>
      <c r="AM138" s="210">
        <f t="shared" si="81"/>
        <v>6652202.0294196904</v>
      </c>
      <c r="AN138" s="203">
        <f t="shared" si="112"/>
        <v>56361266.983968653</v>
      </c>
      <c r="AO138" s="204">
        <f t="shared" si="113"/>
        <v>0</v>
      </c>
      <c r="AP138" s="204">
        <f t="shared" si="114"/>
        <v>28180633.491984326</v>
      </c>
      <c r="AQ138" s="204">
        <f t="shared" si="115"/>
        <v>39784423.753389671</v>
      </c>
      <c r="AR138" s="204">
        <f t="shared" si="116"/>
        <v>1657684.3230579032</v>
      </c>
      <c r="AS138" s="204">
        <f t="shared" si="82"/>
        <v>0</v>
      </c>
      <c r="AT138" s="210">
        <f t="shared" si="83"/>
        <v>125984008.55240056</v>
      </c>
      <c r="AU138" s="222">
        <v>0</v>
      </c>
      <c r="AV138" s="214">
        <f t="shared" si="84"/>
        <v>175.87552377304826</v>
      </c>
      <c r="AW138" s="225">
        <f t="shared" si="77"/>
        <v>3.3255973924888065</v>
      </c>
    </row>
    <row r="139" spans="1:49">
      <c r="A139" s="166">
        <f>'Input data'!A131</f>
        <v>2031</v>
      </c>
      <c r="B139" s="177">
        <f>'Input data'!B131</f>
        <v>66.518977190687664</v>
      </c>
      <c r="C139" s="100">
        <f>'Recycling - Case 1'!E111</f>
        <v>0.8357939393939392</v>
      </c>
      <c r="D139" s="471">
        <f>'Recycling - Case 1'!F111</f>
        <v>0.32254242424242419</v>
      </c>
      <c r="E139" s="203">
        <f t="shared" si="76"/>
        <v>1035335451.9716731</v>
      </c>
      <c r="F139" s="204">
        <v>0</v>
      </c>
      <c r="G139" s="205">
        <f t="shared" si="78"/>
        <v>1035335451.9716731</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16857143.586193342</v>
      </c>
      <c r="AA139" s="204">
        <f t="shared" si="101"/>
        <v>0</v>
      </c>
      <c r="AB139" s="204">
        <f t="shared" si="102"/>
        <v>16857143.586193342</v>
      </c>
      <c r="AC139" s="204">
        <f t="shared" si="103"/>
        <v>9440000.4082682692</v>
      </c>
      <c r="AD139" s="204">
        <f t="shared" si="104"/>
        <v>1348571.4868954658</v>
      </c>
      <c r="AE139" s="204">
        <f t="shared" si="105"/>
        <v>0</v>
      </c>
      <c r="AF139" s="210">
        <f t="shared" si="80"/>
        <v>44502859.067550413</v>
      </c>
      <c r="AG139" s="203">
        <f t="shared" si="106"/>
        <v>0</v>
      </c>
      <c r="AH139" s="204">
        <f t="shared" si="107"/>
        <v>0</v>
      </c>
      <c r="AI139" s="204">
        <f t="shared" si="108"/>
        <v>5590811.4406470349</v>
      </c>
      <c r="AJ139" s="204">
        <f t="shared" si="109"/>
        <v>1118162.288129407</v>
      </c>
      <c r="AK139" s="204">
        <f t="shared" si="110"/>
        <v>0</v>
      </c>
      <c r="AL139" s="204">
        <f t="shared" si="111"/>
        <v>0</v>
      </c>
      <c r="AM139" s="210">
        <f t="shared" si="81"/>
        <v>6708973.7287764419</v>
      </c>
      <c r="AN139" s="203">
        <f t="shared" si="112"/>
        <v>57234284.999041311</v>
      </c>
      <c r="AO139" s="204">
        <f t="shared" si="113"/>
        <v>0</v>
      </c>
      <c r="AP139" s="204">
        <f t="shared" si="114"/>
        <v>28617142.499520656</v>
      </c>
      <c r="AQ139" s="204">
        <f t="shared" si="115"/>
        <v>40400671.764029205</v>
      </c>
      <c r="AR139" s="204">
        <f t="shared" si="116"/>
        <v>1683361.3235012169</v>
      </c>
      <c r="AS139" s="204">
        <f t="shared" si="82"/>
        <v>0</v>
      </c>
      <c r="AT139" s="210">
        <f t="shared" si="83"/>
        <v>127935460.58609238</v>
      </c>
      <c r="AU139" s="222">
        <v>0</v>
      </c>
      <c r="AV139" s="214">
        <f t="shared" si="84"/>
        <v>179.14729338241924</v>
      </c>
      <c r="AW139" s="225">
        <f t="shared" si="77"/>
        <v>3.3539789441183268</v>
      </c>
    </row>
    <row r="140" spans="1:49">
      <c r="A140" s="166">
        <f>'Input data'!A132</f>
        <v>2032</v>
      </c>
      <c r="B140" s="177">
        <f>'Input data'!B132</f>
        <v>67.08666821358311</v>
      </c>
      <c r="C140" s="100">
        <f>'Recycling - Case 1'!E112</f>
        <v>0.84443636363636343</v>
      </c>
      <c r="D140" s="471">
        <f>'Recycling - Case 1'!F112</f>
        <v>0.32489545454545449</v>
      </c>
      <c r="E140" s="203">
        <f t="shared" ref="E140:E157" si="130">B140*$C$4*($C$7*$C$11+$C$8*$C$10+$C$7*$C$12)*10^6</f>
        <v>1044171285.9936672</v>
      </c>
      <c r="F140" s="204">
        <v>0</v>
      </c>
      <c r="G140" s="205">
        <f t="shared" si="78"/>
        <v>1044171285.9936672</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17342735.813731194</v>
      </c>
      <c r="AA140" s="204">
        <f t="shared" si="101"/>
        <v>0</v>
      </c>
      <c r="AB140" s="204">
        <f t="shared" si="102"/>
        <v>17342735.813731194</v>
      </c>
      <c r="AC140" s="204">
        <f t="shared" si="103"/>
        <v>9711932.0556894634</v>
      </c>
      <c r="AD140" s="204">
        <f t="shared" si="104"/>
        <v>1387418.8650984936</v>
      </c>
      <c r="AE140" s="204">
        <f t="shared" si="105"/>
        <v>0</v>
      </c>
      <c r="AF140" s="210">
        <f t="shared" si="80"/>
        <v>45784822.54825034</v>
      </c>
      <c r="AG140" s="203">
        <f t="shared" si="106"/>
        <v>0</v>
      </c>
      <c r="AH140" s="204">
        <f t="shared" si="107"/>
        <v>0</v>
      </c>
      <c r="AI140" s="204">
        <f t="shared" si="108"/>
        <v>5638524.9443658032</v>
      </c>
      <c r="AJ140" s="204">
        <f t="shared" si="109"/>
        <v>1127704.9888731604</v>
      </c>
      <c r="AK140" s="204">
        <f t="shared" si="110"/>
        <v>0</v>
      </c>
      <c r="AL140" s="204">
        <f t="shared" si="111"/>
        <v>0</v>
      </c>
      <c r="AM140" s="210">
        <f t="shared" si="81"/>
        <v>6766229.9332389636</v>
      </c>
      <c r="AN140" s="203">
        <f t="shared" si="112"/>
        <v>58118099.155095682</v>
      </c>
      <c r="AO140" s="204">
        <f t="shared" si="113"/>
        <v>0</v>
      </c>
      <c r="AP140" s="204">
        <f t="shared" si="114"/>
        <v>29059049.577547841</v>
      </c>
      <c r="AQ140" s="204">
        <f t="shared" si="115"/>
        <v>41024540.580067575</v>
      </c>
      <c r="AR140" s="204">
        <f t="shared" si="116"/>
        <v>1709355.8575028158</v>
      </c>
      <c r="AS140" s="204">
        <f t="shared" si="82"/>
        <v>0</v>
      </c>
      <c r="AT140" s="210">
        <f t="shared" si="83"/>
        <v>129911045.17021391</v>
      </c>
      <c r="AU140" s="222">
        <v>0</v>
      </c>
      <c r="AV140" s="214">
        <f t="shared" si="84"/>
        <v>182.4620976517032</v>
      </c>
      <c r="AW140" s="225">
        <f t="shared" ref="AW140:AW158" si="131">((B140*$C$46*$C$47*$C$48*$C$49)-$C$50)*$C$51*$C$52</f>
        <v>3.3826027116200144</v>
      </c>
    </row>
    <row r="141" spans="1:49">
      <c r="A141" s="166">
        <f>'Input data'!A133</f>
        <v>2033</v>
      </c>
      <c r="B141" s="177">
        <f>'Input data'!B133</f>
        <v>67.659204065895452</v>
      </c>
      <c r="C141" s="100">
        <f>'Recycling - Case 1'!E113</f>
        <v>0.85307878787878766</v>
      </c>
      <c r="D141" s="471">
        <f>'Recycling - Case 1'!F113</f>
        <v>0.32724848484848479</v>
      </c>
      <c r="E141" s="203">
        <f t="shared" si="130"/>
        <v>1053082527.4236807</v>
      </c>
      <c r="F141" s="204">
        <v>0</v>
      </c>
      <c r="G141" s="205">
        <f t="shared" si="78"/>
        <v>1053082527.4236807</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17835388.623548348</v>
      </c>
      <c r="AA141" s="204">
        <f t="shared" si="101"/>
        <v>0</v>
      </c>
      <c r="AB141" s="204">
        <f t="shared" si="102"/>
        <v>17835388.623548348</v>
      </c>
      <c r="AC141" s="204">
        <f t="shared" si="103"/>
        <v>9987817.6291870717</v>
      </c>
      <c r="AD141" s="204">
        <f t="shared" si="104"/>
        <v>1426831.0898838658</v>
      </c>
      <c r="AE141" s="204">
        <f t="shared" si="105"/>
        <v>0</v>
      </c>
      <c r="AF141" s="210">
        <f t="shared" si="80"/>
        <v>47085425.966167629</v>
      </c>
      <c r="AG141" s="203">
        <f t="shared" si="106"/>
        <v>0</v>
      </c>
      <c r="AH141" s="204">
        <f t="shared" si="107"/>
        <v>0</v>
      </c>
      <c r="AI141" s="204">
        <f t="shared" si="108"/>
        <v>5686645.648087875</v>
      </c>
      <c r="AJ141" s="204">
        <f t="shared" si="109"/>
        <v>1137329.1296175751</v>
      </c>
      <c r="AK141" s="204">
        <f t="shared" si="110"/>
        <v>0</v>
      </c>
      <c r="AL141" s="204">
        <f t="shared" si="111"/>
        <v>0</v>
      </c>
      <c r="AM141" s="210">
        <f t="shared" si="81"/>
        <v>6823974.7777054496</v>
      </c>
      <c r="AN141" s="203">
        <f t="shared" si="112"/>
        <v>59012830.141318627</v>
      </c>
      <c r="AO141" s="204">
        <f t="shared" si="113"/>
        <v>0</v>
      </c>
      <c r="AP141" s="204">
        <f t="shared" si="114"/>
        <v>29506415.070659313</v>
      </c>
      <c r="AQ141" s="204">
        <f t="shared" si="115"/>
        <v>41656115.393872015</v>
      </c>
      <c r="AR141" s="204">
        <f t="shared" si="116"/>
        <v>1735671.4747446675</v>
      </c>
      <c r="AS141" s="204">
        <f t="shared" si="82"/>
        <v>0</v>
      </c>
      <c r="AT141" s="210">
        <f t="shared" si="83"/>
        <v>131911032.08059461</v>
      </c>
      <c r="AU141" s="222">
        <v>0</v>
      </c>
      <c r="AV141" s="214">
        <f t="shared" si="84"/>
        <v>185.8204328244677</v>
      </c>
      <c r="AW141" s="225">
        <f t="shared" si="131"/>
        <v>3.4114707621299263</v>
      </c>
    </row>
    <row r="142" spans="1:49">
      <c r="A142" s="166">
        <f>'Input data'!A134</f>
        <v>2034</v>
      </c>
      <c r="B142" s="177">
        <f>'Input data'!B134</f>
        <v>68.236626094715163</v>
      </c>
      <c r="C142" s="100">
        <f>'Recycling - Case 1'!E114</f>
        <v>0.86172121212121189</v>
      </c>
      <c r="D142" s="471">
        <f>'Recycling - Case 1'!F114</f>
        <v>0.32960151515151509</v>
      </c>
      <c r="E142" s="203">
        <f t="shared" si="130"/>
        <v>1062069819.8090204</v>
      </c>
      <c r="F142" s="204">
        <v>0</v>
      </c>
      <c r="G142" s="205">
        <f t="shared" si="78"/>
        <v>1062069819.8090204</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18335187.161975738</v>
      </c>
      <c r="AA142" s="204">
        <f t="shared" si="101"/>
        <v>0</v>
      </c>
      <c r="AB142" s="204">
        <f t="shared" si="102"/>
        <v>18335187.161975738</v>
      </c>
      <c r="AC142" s="204">
        <f t="shared" si="103"/>
        <v>10267704.810706407</v>
      </c>
      <c r="AD142" s="204">
        <f t="shared" si="104"/>
        <v>1466814.9729580567</v>
      </c>
      <c r="AE142" s="204">
        <f t="shared" si="105"/>
        <v>0</v>
      </c>
      <c r="AF142" s="210">
        <f t="shared" si="80"/>
        <v>48404894.10761594</v>
      </c>
      <c r="AG142" s="203">
        <f t="shared" si="106"/>
        <v>0</v>
      </c>
      <c r="AH142" s="204">
        <f t="shared" si="107"/>
        <v>0</v>
      </c>
      <c r="AI142" s="204">
        <f t="shared" si="108"/>
        <v>5735177.0269687101</v>
      </c>
      <c r="AJ142" s="204">
        <f t="shared" si="109"/>
        <v>1147035.405393742</v>
      </c>
      <c r="AK142" s="204">
        <f t="shared" si="110"/>
        <v>0</v>
      </c>
      <c r="AL142" s="204">
        <f t="shared" si="111"/>
        <v>0</v>
      </c>
      <c r="AM142" s="210">
        <f t="shared" si="81"/>
        <v>6882212.4323624521</v>
      </c>
      <c r="AN142" s="203">
        <f t="shared" si="112"/>
        <v>59918599.920561872</v>
      </c>
      <c r="AO142" s="204">
        <f t="shared" si="113"/>
        <v>0</v>
      </c>
      <c r="AP142" s="204">
        <f t="shared" si="114"/>
        <v>29959299.960280936</v>
      </c>
      <c r="AQ142" s="204">
        <f t="shared" si="115"/>
        <v>42295482.296867251</v>
      </c>
      <c r="AR142" s="204">
        <f t="shared" si="116"/>
        <v>1762311.7623694688</v>
      </c>
      <c r="AS142" s="204">
        <f t="shared" si="82"/>
        <v>0</v>
      </c>
      <c r="AT142" s="210">
        <f t="shared" si="83"/>
        <v>133935693.94007953</v>
      </c>
      <c r="AU142" s="222">
        <v>0</v>
      </c>
      <c r="AV142" s="214">
        <f t="shared" si="84"/>
        <v>189.22280048005791</v>
      </c>
      <c r="AW142" s="225">
        <f t="shared" si="131"/>
        <v>3.4405851804256198</v>
      </c>
    </row>
    <row r="143" spans="1:49">
      <c r="A143" s="166">
        <f>'Input data'!A135</f>
        <v>2035</v>
      </c>
      <c r="B143" s="177">
        <f>'Input data'!B135</f>
        <v>68.818976000000006</v>
      </c>
      <c r="C143" s="100">
        <f>'Recycling - Case 1'!E115</f>
        <v>0.87036363636363612</v>
      </c>
      <c r="D143" s="471">
        <f>'Recycling - Case 1'!F115</f>
        <v>0.33195454545454539</v>
      </c>
      <c r="E143" s="203">
        <f t="shared" si="130"/>
        <v>1071133812.1892002</v>
      </c>
      <c r="F143" s="204">
        <v>0</v>
      </c>
      <c r="G143" s="205">
        <f t="shared" si="78"/>
        <v>1071133812.1892002</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18842217.514419127</v>
      </c>
      <c r="AA143" s="204">
        <f t="shared" si="101"/>
        <v>0</v>
      </c>
      <c r="AB143" s="204">
        <f t="shared" si="102"/>
        <v>18842217.514419127</v>
      </c>
      <c r="AC143" s="204">
        <f t="shared" si="103"/>
        <v>10551641.808074705</v>
      </c>
      <c r="AD143" s="204">
        <f t="shared" si="104"/>
        <v>1507377.4011535277</v>
      </c>
      <c r="AE143" s="204">
        <f t="shared" si="105"/>
        <v>0</v>
      </c>
      <c r="AF143" s="210">
        <f t="shared" si="80"/>
        <v>49743454.238066487</v>
      </c>
      <c r="AG143" s="203">
        <f t="shared" si="106"/>
        <v>0</v>
      </c>
      <c r="AH143" s="204">
        <f t="shared" si="107"/>
        <v>0</v>
      </c>
      <c r="AI143" s="204">
        <f t="shared" si="108"/>
        <v>5784122.5858216807</v>
      </c>
      <c r="AJ143" s="204">
        <f t="shared" si="109"/>
        <v>1156824.5171643361</v>
      </c>
      <c r="AK143" s="204">
        <f t="shared" si="110"/>
        <v>0</v>
      </c>
      <c r="AL143" s="204">
        <f t="shared" si="111"/>
        <v>0</v>
      </c>
      <c r="AM143" s="210">
        <f t="shared" si="81"/>
        <v>6940947.1029860172</v>
      </c>
      <c r="AN143" s="203">
        <f t="shared" si="112"/>
        <v>60835531.74229113</v>
      </c>
      <c r="AO143" s="204">
        <f t="shared" si="113"/>
        <v>0</v>
      </c>
      <c r="AP143" s="204">
        <f t="shared" si="114"/>
        <v>30417765.871145565</v>
      </c>
      <c r="AQ143" s="204">
        <f t="shared" si="115"/>
        <v>42942728.288676143</v>
      </c>
      <c r="AR143" s="204">
        <f t="shared" si="116"/>
        <v>1789280.3453615063</v>
      </c>
      <c r="AS143" s="204">
        <f t="shared" si="82"/>
        <v>0</v>
      </c>
      <c r="AT143" s="210">
        <f t="shared" si="83"/>
        <v>135985306.24747434</v>
      </c>
      <c r="AU143" s="222">
        <v>0</v>
      </c>
      <c r="AV143" s="214">
        <f t="shared" si="84"/>
        <v>192.66970758852685</v>
      </c>
      <c r="AW143" s="225">
        <f t="shared" si="131"/>
        <v>3.4699480690767106</v>
      </c>
    </row>
    <row r="144" spans="1:49">
      <c r="A144" s="166">
        <f>'Input data'!A136</f>
        <v>2036</v>
      </c>
      <c r="B144" s="177">
        <f>'Input data'!B136</f>
        <v>69.322810489383542</v>
      </c>
      <c r="C144" s="100">
        <f>'Recycling - Case 1'!E116</f>
        <v>0.87900606060606035</v>
      </c>
      <c r="D144" s="471">
        <f>'Recycling - Case 1'!F116</f>
        <v>0.33430757575757569</v>
      </c>
      <c r="E144" s="203">
        <f t="shared" si="130"/>
        <v>1078975750.3971415</v>
      </c>
      <c r="F144" s="204">
        <v>0</v>
      </c>
      <c r="G144" s="205">
        <f t="shared" si="78"/>
        <v>1078975750.3971415</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19333283.673025157</v>
      </c>
      <c r="AA144" s="204">
        <f t="shared" si="101"/>
        <v>0</v>
      </c>
      <c r="AB144" s="204">
        <f t="shared" si="102"/>
        <v>19333283.673025157</v>
      </c>
      <c r="AC144" s="204">
        <f t="shared" si="103"/>
        <v>10826638.856894083</v>
      </c>
      <c r="AD144" s="204">
        <f t="shared" si="104"/>
        <v>1546662.6938420099</v>
      </c>
      <c r="AE144" s="204">
        <f t="shared" si="105"/>
        <v>0</v>
      </c>
      <c r="AF144" s="210">
        <f t="shared" si="80"/>
        <v>51039868.896786407</v>
      </c>
      <c r="AG144" s="203">
        <f t="shared" si="106"/>
        <v>0</v>
      </c>
      <c r="AH144" s="204">
        <f t="shared" si="107"/>
        <v>0</v>
      </c>
      <c r="AI144" s="204">
        <f t="shared" si="108"/>
        <v>5826469.0521445638</v>
      </c>
      <c r="AJ144" s="204">
        <f t="shared" si="109"/>
        <v>1165293.8104289128</v>
      </c>
      <c r="AK144" s="204">
        <f t="shared" si="110"/>
        <v>0</v>
      </c>
      <c r="AL144" s="204">
        <f t="shared" si="111"/>
        <v>0</v>
      </c>
      <c r="AM144" s="210">
        <f t="shared" si="81"/>
        <v>6991762.8625734765</v>
      </c>
      <c r="AN144" s="203">
        <f t="shared" si="112"/>
        <v>61689457.641910717</v>
      </c>
      <c r="AO144" s="204">
        <f t="shared" si="113"/>
        <v>0</v>
      </c>
      <c r="AP144" s="204">
        <f t="shared" si="114"/>
        <v>30844728.820955358</v>
      </c>
      <c r="AQ144" s="204">
        <f t="shared" si="115"/>
        <v>43545499.51193703</v>
      </c>
      <c r="AR144" s="204">
        <f t="shared" si="116"/>
        <v>1814395.8129973763</v>
      </c>
      <c r="AS144" s="204">
        <f t="shared" si="82"/>
        <v>0</v>
      </c>
      <c r="AT144" s="210">
        <f t="shared" si="83"/>
        <v>137894081.78780046</v>
      </c>
      <c r="AU144" s="222">
        <v>0</v>
      </c>
      <c r="AV144" s="214">
        <f t="shared" si="84"/>
        <v>195.92571354716031</v>
      </c>
      <c r="AW144" s="225">
        <f t="shared" si="131"/>
        <v>3.4953521017314642</v>
      </c>
    </row>
    <row r="145" spans="1:49">
      <c r="A145" s="166">
        <f>'Input data'!A137</f>
        <v>2037</v>
      </c>
      <c r="B145" s="177">
        <f>'Input data'!B137</f>
        <v>69.830333629884052</v>
      </c>
      <c r="C145" s="100">
        <f>'Recycling - Case 1'!E117</f>
        <v>0.88764848484848458</v>
      </c>
      <c r="D145" s="471">
        <f>'Recycling - Case 1'!F117</f>
        <v>0.33666060606060599</v>
      </c>
      <c r="E145" s="203">
        <f t="shared" si="130"/>
        <v>1086875100.6615009</v>
      </c>
      <c r="F145" s="204">
        <v>0</v>
      </c>
      <c r="G145" s="205">
        <f t="shared" si="78"/>
        <v>1086875100.6615009</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19830530.245705761</v>
      </c>
      <c r="AA145" s="204">
        <f t="shared" si="101"/>
        <v>0</v>
      </c>
      <c r="AB145" s="204">
        <f t="shared" si="102"/>
        <v>19830530.245705761</v>
      </c>
      <c r="AC145" s="204">
        <f t="shared" si="103"/>
        <v>11105096.937595222</v>
      </c>
      <c r="AD145" s="204">
        <f t="shared" si="104"/>
        <v>1586442.4196564583</v>
      </c>
      <c r="AE145" s="204">
        <f t="shared" si="105"/>
        <v>0</v>
      </c>
      <c r="AF145" s="210">
        <f t="shared" si="80"/>
        <v>52352599.848663196</v>
      </c>
      <c r="AG145" s="203">
        <f t="shared" si="106"/>
        <v>0</v>
      </c>
      <c r="AH145" s="204">
        <f t="shared" si="107"/>
        <v>0</v>
      </c>
      <c r="AI145" s="204">
        <f t="shared" si="108"/>
        <v>5869125.5435721045</v>
      </c>
      <c r="AJ145" s="204">
        <f t="shared" si="109"/>
        <v>1173825.1087144208</v>
      </c>
      <c r="AK145" s="204">
        <f t="shared" si="110"/>
        <v>0</v>
      </c>
      <c r="AL145" s="204">
        <f t="shared" si="111"/>
        <v>0</v>
      </c>
      <c r="AM145" s="210">
        <f t="shared" si="81"/>
        <v>7042950.6522865258</v>
      </c>
      <c r="AN145" s="203">
        <f t="shared" si="112"/>
        <v>62552626.247889332</v>
      </c>
      <c r="AO145" s="204">
        <f t="shared" si="113"/>
        <v>0</v>
      </c>
      <c r="AP145" s="204">
        <f t="shared" si="114"/>
        <v>31276313.123944666</v>
      </c>
      <c r="AQ145" s="204">
        <f t="shared" si="115"/>
        <v>44154794.998510174</v>
      </c>
      <c r="AR145" s="204">
        <f t="shared" si="116"/>
        <v>1839783.1249379241</v>
      </c>
      <c r="AS145" s="204">
        <f t="shared" si="82"/>
        <v>0</v>
      </c>
      <c r="AT145" s="210">
        <f t="shared" si="83"/>
        <v>139823517.49528208</v>
      </c>
      <c r="AU145" s="222">
        <v>0</v>
      </c>
      <c r="AV145" s="214">
        <f t="shared" si="84"/>
        <v>199.21906799623179</v>
      </c>
      <c r="AW145" s="225">
        <f t="shared" si="131"/>
        <v>3.5209421212835057</v>
      </c>
    </row>
    <row r="146" spans="1:49">
      <c r="A146" s="166">
        <f>'Input data'!A138</f>
        <v>2038</v>
      </c>
      <c r="B146" s="177">
        <f>'Input data'!B138</f>
        <v>70.341572426693446</v>
      </c>
      <c r="C146" s="100">
        <f>'Recycling - Case 1'!E118</f>
        <v>0.89629090909090881</v>
      </c>
      <c r="D146" s="471">
        <f>'Recycling - Case 1'!F118</f>
        <v>0.33901363636363629</v>
      </c>
      <c r="E146" s="203">
        <f t="shared" si="130"/>
        <v>1094832283.3049257</v>
      </c>
      <c r="F146" s="204">
        <v>0</v>
      </c>
      <c r="G146" s="205">
        <f t="shared" si="78"/>
        <v>1094832283.3049257</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20334021.407199681</v>
      </c>
      <c r="AA146" s="204">
        <f t="shared" si="101"/>
        <v>0</v>
      </c>
      <c r="AB146" s="204">
        <f t="shared" si="102"/>
        <v>20334021.407199681</v>
      </c>
      <c r="AC146" s="204">
        <f t="shared" si="103"/>
        <v>11387051.988031816</v>
      </c>
      <c r="AD146" s="204">
        <f t="shared" si="104"/>
        <v>1626721.7125759716</v>
      </c>
      <c r="AE146" s="204">
        <f t="shared" si="105"/>
        <v>0</v>
      </c>
      <c r="AF146" s="210">
        <f t="shared" si="80"/>
        <v>53681816.515007153</v>
      </c>
      <c r="AG146" s="203">
        <f t="shared" si="106"/>
        <v>0</v>
      </c>
      <c r="AH146" s="204">
        <f t="shared" si="107"/>
        <v>0</v>
      </c>
      <c r="AI146" s="204">
        <f t="shared" si="108"/>
        <v>5912094.3298465982</v>
      </c>
      <c r="AJ146" s="204">
        <f t="shared" si="109"/>
        <v>1182418.8659693196</v>
      </c>
      <c r="AK146" s="204">
        <f t="shared" si="110"/>
        <v>0</v>
      </c>
      <c r="AL146" s="204">
        <f t="shared" si="111"/>
        <v>0</v>
      </c>
      <c r="AM146" s="210">
        <f t="shared" si="81"/>
        <v>7094513.195815918</v>
      </c>
      <c r="AN146" s="203">
        <f t="shared" si="112"/>
        <v>63425127.124967895</v>
      </c>
      <c r="AO146" s="204">
        <f t="shared" si="113"/>
        <v>0</v>
      </c>
      <c r="AP146" s="204">
        <f t="shared" si="114"/>
        <v>31712563.562483948</v>
      </c>
      <c r="AQ146" s="204">
        <f t="shared" si="115"/>
        <v>44770677.970565639</v>
      </c>
      <c r="AR146" s="204">
        <f t="shared" si="116"/>
        <v>1865444.9154402353</v>
      </c>
      <c r="AS146" s="204">
        <f t="shared" si="82"/>
        <v>0</v>
      </c>
      <c r="AT146" s="210">
        <f t="shared" si="83"/>
        <v>141773813.57345772</v>
      </c>
      <c r="AU146" s="222">
        <v>0</v>
      </c>
      <c r="AV146" s="214">
        <f t="shared" si="84"/>
        <v>202.55014328428078</v>
      </c>
      <c r="AW146" s="225">
        <f t="shared" si="131"/>
        <v>3.5467194893720086</v>
      </c>
    </row>
    <row r="147" spans="1:49">
      <c r="A147" s="166">
        <f>'Input data'!A139</f>
        <v>2039</v>
      </c>
      <c r="B147" s="177">
        <f>'Input data'!B139</f>
        <v>70.856554082712819</v>
      </c>
      <c r="C147" s="100">
        <f>'Recycling - Case 1'!E119</f>
        <v>0.90493333333333303</v>
      </c>
      <c r="D147" s="471">
        <f>'Recycling - Case 1'!F119</f>
        <v>0.3413666666666666</v>
      </c>
      <c r="E147" s="203">
        <f t="shared" si="130"/>
        <v>1102847721.7273097</v>
      </c>
      <c r="F147" s="204">
        <v>0</v>
      </c>
      <c r="G147" s="205">
        <f t="shared" si="78"/>
        <v>1102847721.7273097</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20843821.940646168</v>
      </c>
      <c r="AA147" s="204">
        <f t="shared" si="101"/>
        <v>0</v>
      </c>
      <c r="AB147" s="204">
        <f t="shared" si="102"/>
        <v>20843821.940646168</v>
      </c>
      <c r="AC147" s="204">
        <f t="shared" si="103"/>
        <v>11672540.286761848</v>
      </c>
      <c r="AD147" s="204">
        <f t="shared" si="104"/>
        <v>1667505.7552516905</v>
      </c>
      <c r="AE147" s="204">
        <f t="shared" si="105"/>
        <v>0</v>
      </c>
      <c r="AF147" s="210">
        <f t="shared" si="80"/>
        <v>55027689.923305877</v>
      </c>
      <c r="AG147" s="203">
        <f t="shared" si="106"/>
        <v>0</v>
      </c>
      <c r="AH147" s="204">
        <f t="shared" si="107"/>
        <v>0</v>
      </c>
      <c r="AI147" s="204">
        <f t="shared" si="108"/>
        <v>5955377.6973274713</v>
      </c>
      <c r="AJ147" s="204">
        <f t="shared" si="109"/>
        <v>1191075.5394654942</v>
      </c>
      <c r="AK147" s="204">
        <f t="shared" si="110"/>
        <v>0</v>
      </c>
      <c r="AL147" s="204">
        <f t="shared" si="111"/>
        <v>0</v>
      </c>
      <c r="AM147" s="210">
        <f t="shared" si="81"/>
        <v>7146453.2367929658</v>
      </c>
      <c r="AN147" s="203">
        <f t="shared" si="112"/>
        <v>64307050.653919384</v>
      </c>
      <c r="AO147" s="204">
        <f t="shared" si="113"/>
        <v>0</v>
      </c>
      <c r="AP147" s="204">
        <f t="shared" si="114"/>
        <v>32153525.326959692</v>
      </c>
      <c r="AQ147" s="204">
        <f t="shared" si="115"/>
        <v>45393212.226296112</v>
      </c>
      <c r="AR147" s="204">
        <f t="shared" si="116"/>
        <v>1891383.8427623378</v>
      </c>
      <c r="AS147" s="204">
        <f t="shared" si="82"/>
        <v>0</v>
      </c>
      <c r="AT147" s="210">
        <f t="shared" si="83"/>
        <v>143745172.04993755</v>
      </c>
      <c r="AU147" s="222">
        <v>0</v>
      </c>
      <c r="AV147" s="214">
        <f t="shared" si="84"/>
        <v>205.91931521003639</v>
      </c>
      <c r="AW147" s="225">
        <f t="shared" si="131"/>
        <v>3.5726855776049167</v>
      </c>
    </row>
    <row r="148" spans="1:49">
      <c r="A148" s="166">
        <f>'Input data'!A140</f>
        <v>2040</v>
      </c>
      <c r="B148" s="177">
        <f>'Input data'!B140</f>
        <v>71.375305999999995</v>
      </c>
      <c r="C148" s="100">
        <f>'Recycling - Case 1'!E120</f>
        <v>0.91357575757575726</v>
      </c>
      <c r="D148" s="471">
        <f>'Recycling - Case 1'!F120</f>
        <v>0.3437196969696969</v>
      </c>
      <c r="E148" s="203">
        <f t="shared" si="130"/>
        <v>1110921842.4283249</v>
      </c>
      <c r="F148" s="204">
        <v>0</v>
      </c>
      <c r="G148" s="205">
        <f t="shared" si="78"/>
        <v>1110921842.4283249</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21359997.243053719</v>
      </c>
      <c r="AA148" s="204">
        <f t="shared" si="101"/>
        <v>0</v>
      </c>
      <c r="AB148" s="204">
        <f t="shared" si="102"/>
        <v>21359997.243053719</v>
      </c>
      <c r="AC148" s="204">
        <f t="shared" si="103"/>
        <v>11961598.456110077</v>
      </c>
      <c r="AD148" s="204">
        <f t="shared" si="104"/>
        <v>1708799.7794442943</v>
      </c>
      <c r="AE148" s="204">
        <f t="shared" si="105"/>
        <v>0</v>
      </c>
      <c r="AF148" s="210">
        <f t="shared" si="80"/>
        <v>56390392.721661806</v>
      </c>
      <c r="AG148" s="203">
        <f t="shared" si="106"/>
        <v>0</v>
      </c>
      <c r="AH148" s="204">
        <f t="shared" si="107"/>
        <v>0</v>
      </c>
      <c r="AI148" s="204">
        <f t="shared" si="108"/>
        <v>5998977.9491129545</v>
      </c>
      <c r="AJ148" s="204">
        <f t="shared" si="109"/>
        <v>1199795.5898225908</v>
      </c>
      <c r="AK148" s="204">
        <f t="shared" si="110"/>
        <v>0</v>
      </c>
      <c r="AL148" s="204">
        <f t="shared" si="111"/>
        <v>0</v>
      </c>
      <c r="AM148" s="210">
        <f t="shared" si="81"/>
        <v>7198773.5389355458</v>
      </c>
      <c r="AN148" s="203">
        <f t="shared" si="112"/>
        <v>65198488.038696855</v>
      </c>
      <c r="AO148" s="204">
        <f t="shared" si="113"/>
        <v>0</v>
      </c>
      <c r="AP148" s="204">
        <f t="shared" si="114"/>
        <v>32599244.019348428</v>
      </c>
      <c r="AQ148" s="204">
        <f t="shared" si="115"/>
        <v>46022462.144962557</v>
      </c>
      <c r="AR148" s="204">
        <f t="shared" si="116"/>
        <v>1917602.58937344</v>
      </c>
      <c r="AS148" s="204">
        <f t="shared" si="82"/>
        <v>0</v>
      </c>
      <c r="AT148" s="210">
        <f t="shared" si="83"/>
        <v>145737796.79238129</v>
      </c>
      <c r="AU148" s="222">
        <v>0</v>
      </c>
      <c r="AV148" s="214">
        <f t="shared" si="84"/>
        <v>209.32696305297864</v>
      </c>
      <c r="AW148" s="225">
        <f t="shared" si="131"/>
        <v>3.5988417676319293</v>
      </c>
    </row>
    <row r="149" spans="1:49">
      <c r="A149" s="166">
        <f>'Input data'!A141</f>
        <v>2041</v>
      </c>
      <c r="B149" s="177">
        <f>'Input data'!B141</f>
        <v>71.818612994947316</v>
      </c>
      <c r="C149" s="100">
        <f>'Recycling - Case 1'!E121</f>
        <v>0.92221818181818149</v>
      </c>
      <c r="D149" s="471">
        <f>'Recycling - Case 1'!F121</f>
        <v>0.3460727272727272</v>
      </c>
      <c r="E149" s="203">
        <f t="shared" si="130"/>
        <v>1117821699.6925201</v>
      </c>
      <c r="F149" s="204">
        <v>0</v>
      </c>
      <c r="G149" s="205">
        <f t="shared" si="78"/>
        <v>1117821699.6925201</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21858495.236714661</v>
      </c>
      <c r="AA149" s="204">
        <f t="shared" si="101"/>
        <v>0</v>
      </c>
      <c r="AB149" s="204">
        <f t="shared" si="102"/>
        <v>21858495.236714661</v>
      </c>
      <c r="AC149" s="204">
        <f t="shared" si="103"/>
        <v>12240757.332560204</v>
      </c>
      <c r="AD149" s="204">
        <f t="shared" si="104"/>
        <v>1748679.6189371699</v>
      </c>
      <c r="AE149" s="204">
        <f t="shared" si="105"/>
        <v>0</v>
      </c>
      <c r="AF149" s="210">
        <f t="shared" si="80"/>
        <v>57706427.424926698</v>
      </c>
      <c r="AG149" s="203">
        <f t="shared" si="106"/>
        <v>0</v>
      </c>
      <c r="AH149" s="204">
        <f t="shared" si="107"/>
        <v>0</v>
      </c>
      <c r="AI149" s="204">
        <f t="shared" si="108"/>
        <v>6036237.1783396089</v>
      </c>
      <c r="AJ149" s="204">
        <f t="shared" si="109"/>
        <v>1207247.4356679216</v>
      </c>
      <c r="AK149" s="204">
        <f t="shared" si="110"/>
        <v>0</v>
      </c>
      <c r="AL149" s="204">
        <f t="shared" si="111"/>
        <v>0</v>
      </c>
      <c r="AM149" s="210">
        <f t="shared" si="81"/>
        <v>7243484.6140075307</v>
      </c>
      <c r="AN149" s="203">
        <f t="shared" si="112"/>
        <v>66026679.1962016</v>
      </c>
      <c r="AO149" s="204">
        <f t="shared" si="113"/>
        <v>0</v>
      </c>
      <c r="AP149" s="204">
        <f t="shared" si="114"/>
        <v>33013339.5981008</v>
      </c>
      <c r="AQ149" s="204">
        <f t="shared" si="115"/>
        <v>46607067.667907082</v>
      </c>
      <c r="AR149" s="204">
        <f t="shared" si="116"/>
        <v>1941961.152829462</v>
      </c>
      <c r="AS149" s="204">
        <f t="shared" si="82"/>
        <v>0</v>
      </c>
      <c r="AT149" s="210">
        <f t="shared" si="83"/>
        <v>147589047.61503896</v>
      </c>
      <c r="AU149" s="222">
        <v>0</v>
      </c>
      <c r="AV149" s="214">
        <f t="shared" si="84"/>
        <v>212.53895965397319</v>
      </c>
      <c r="AW149" s="225">
        <f t="shared" si="131"/>
        <v>3.6211939201999317</v>
      </c>
    </row>
    <row r="150" spans="1:49">
      <c r="A150" s="166">
        <f>'Input data'!A142</f>
        <v>2042</v>
      </c>
      <c r="B150" s="177">
        <f>'Input data'!B142</f>
        <v>72.264673338395411</v>
      </c>
      <c r="C150" s="100">
        <f>'Recycling - Case 1'!E122</f>
        <v>0.93086060606060572</v>
      </c>
      <c r="D150" s="471">
        <f>'Recycling - Case 1'!F122</f>
        <v>0.3484257575757575</v>
      </c>
      <c r="E150" s="203">
        <f t="shared" si="130"/>
        <v>1124764411.4838722</v>
      </c>
      <c r="F150" s="204">
        <v>0</v>
      </c>
      <c r="G150" s="205">
        <f t="shared" si="78"/>
        <v>1124764411.4838722</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22362361.526502095</v>
      </c>
      <c r="AA150" s="204">
        <f t="shared" si="101"/>
        <v>0</v>
      </c>
      <c r="AB150" s="204">
        <f t="shared" si="102"/>
        <v>22362361.526502095</v>
      </c>
      <c r="AC150" s="204">
        <f t="shared" si="103"/>
        <v>12522922.454841167</v>
      </c>
      <c r="AD150" s="204">
        <f t="shared" si="104"/>
        <v>1788988.9221201641</v>
      </c>
      <c r="AE150" s="204">
        <f t="shared" si="105"/>
        <v>0</v>
      </c>
      <c r="AF150" s="210">
        <f t="shared" si="80"/>
        <v>59036634.429965518</v>
      </c>
      <c r="AG150" s="203">
        <f t="shared" si="106"/>
        <v>0</v>
      </c>
      <c r="AH150" s="204">
        <f t="shared" si="107"/>
        <v>0</v>
      </c>
      <c r="AI150" s="204">
        <f t="shared" si="108"/>
        <v>6073727.8220129088</v>
      </c>
      <c r="AJ150" s="204">
        <f t="shared" si="109"/>
        <v>1214745.5644025819</v>
      </c>
      <c r="AK150" s="204">
        <f t="shared" si="110"/>
        <v>0</v>
      </c>
      <c r="AL150" s="204">
        <f t="shared" si="111"/>
        <v>0</v>
      </c>
      <c r="AM150" s="210">
        <f t="shared" si="81"/>
        <v>7288473.3864154909</v>
      </c>
      <c r="AN150" s="203">
        <f t="shared" si="112"/>
        <v>66862642.953760087</v>
      </c>
      <c r="AO150" s="204">
        <f t="shared" si="113"/>
        <v>0</v>
      </c>
      <c r="AP150" s="204">
        <f t="shared" si="114"/>
        <v>33431321.476880044</v>
      </c>
      <c r="AQ150" s="204">
        <f t="shared" si="115"/>
        <v>47197159.73206602</v>
      </c>
      <c r="AR150" s="204">
        <f t="shared" si="116"/>
        <v>1966548.3221694177</v>
      </c>
      <c r="AS150" s="204">
        <f t="shared" si="82"/>
        <v>0</v>
      </c>
      <c r="AT150" s="210">
        <f t="shared" si="83"/>
        <v>149457672.48487556</v>
      </c>
      <c r="AU150" s="222">
        <v>0</v>
      </c>
      <c r="AV150" s="214">
        <f t="shared" si="84"/>
        <v>215.78278030125657</v>
      </c>
      <c r="AW150" s="225">
        <f t="shared" si="131"/>
        <v>3.6436849004121257</v>
      </c>
    </row>
    <row r="151" spans="1:49">
      <c r="A151" s="166">
        <f>'Input data'!A143</f>
        <v>2043</v>
      </c>
      <c r="B151" s="177">
        <f>'Input data'!B143</f>
        <v>72.713504131197794</v>
      </c>
      <c r="C151" s="100">
        <f>'Recycling - Case 1'!E123</f>
        <v>0.93950303030302995</v>
      </c>
      <c r="D151" s="471">
        <f>'Recycling - Case 1'!F123</f>
        <v>0.3507787878787878</v>
      </c>
      <c r="E151" s="203">
        <f t="shared" si="130"/>
        <v>1131750243.9688299</v>
      </c>
      <c r="F151" s="204">
        <v>0</v>
      </c>
      <c r="G151" s="205">
        <f t="shared" si="78"/>
        <v>1131750243.9688299</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22871643.566751916</v>
      </c>
      <c r="AA151" s="204">
        <f t="shared" si="101"/>
        <v>0</v>
      </c>
      <c r="AB151" s="204">
        <f t="shared" si="102"/>
        <v>22871643.566751916</v>
      </c>
      <c r="AC151" s="204">
        <f t="shared" si="103"/>
        <v>12808120.397381067</v>
      </c>
      <c r="AD151" s="204">
        <f t="shared" si="104"/>
        <v>1829731.4853401498</v>
      </c>
      <c r="AE151" s="204">
        <f t="shared" si="105"/>
        <v>0</v>
      </c>
      <c r="AF151" s="210">
        <f t="shared" si="80"/>
        <v>60381139.016225047</v>
      </c>
      <c r="AG151" s="203">
        <f t="shared" si="106"/>
        <v>0</v>
      </c>
      <c r="AH151" s="204">
        <f t="shared" si="107"/>
        <v>0</v>
      </c>
      <c r="AI151" s="204">
        <f t="shared" si="108"/>
        <v>6111451.3174316809</v>
      </c>
      <c r="AJ151" s="204">
        <f t="shared" si="109"/>
        <v>1222290.263486336</v>
      </c>
      <c r="AK151" s="204">
        <f t="shared" si="110"/>
        <v>0</v>
      </c>
      <c r="AL151" s="204">
        <f t="shared" si="111"/>
        <v>0</v>
      </c>
      <c r="AM151" s="210">
        <f t="shared" si="81"/>
        <v>7333741.5809180168</v>
      </c>
      <c r="AN151" s="203">
        <f t="shared" si="112"/>
        <v>67706443.91350612</v>
      </c>
      <c r="AO151" s="204">
        <f t="shared" si="113"/>
        <v>0</v>
      </c>
      <c r="AP151" s="204">
        <f t="shared" si="114"/>
        <v>33853221.95675306</v>
      </c>
      <c r="AQ151" s="204">
        <f t="shared" si="115"/>
        <v>47792783.938945577</v>
      </c>
      <c r="AR151" s="204">
        <f t="shared" si="116"/>
        <v>1991365.9974560658</v>
      </c>
      <c r="AS151" s="204">
        <f t="shared" si="82"/>
        <v>0</v>
      </c>
      <c r="AT151" s="210">
        <f t="shared" si="83"/>
        <v>151343815.80666083</v>
      </c>
      <c r="AU151" s="222">
        <v>0</v>
      </c>
      <c r="AV151" s="214">
        <f t="shared" si="84"/>
        <v>219.05869640380388</v>
      </c>
      <c r="AW151" s="225">
        <f t="shared" si="131"/>
        <v>3.666315570517225</v>
      </c>
    </row>
    <row r="152" spans="1:49">
      <c r="A152" s="166">
        <f>'Input data'!A144</f>
        <v>2044</v>
      </c>
      <c r="B152" s="177">
        <f>'Input data'!B144</f>
        <v>73.165122580420132</v>
      </c>
      <c r="C152" s="100">
        <f>'Recycling - Case 1'!E124</f>
        <v>0.94814545454545418</v>
      </c>
      <c r="D152" s="471">
        <f>'Recycling - Case 1'!F124</f>
        <v>0.3531318181818181</v>
      </c>
      <c r="E152" s="203">
        <f t="shared" si="130"/>
        <v>1138779464.9669816</v>
      </c>
      <c r="F152" s="204">
        <v>0</v>
      </c>
      <c r="G152" s="205">
        <f t="shared" si="78"/>
        <v>1138779464.9669816</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23386389.194185577</v>
      </c>
      <c r="AA152" s="204">
        <f t="shared" si="101"/>
        <v>0</v>
      </c>
      <c r="AB152" s="204">
        <f t="shared" si="102"/>
        <v>23386389.194185577</v>
      </c>
      <c r="AC152" s="204">
        <f t="shared" si="103"/>
        <v>13096377.948743915</v>
      </c>
      <c r="AD152" s="204">
        <f t="shared" si="104"/>
        <v>1870911.1355348425</v>
      </c>
      <c r="AE152" s="204">
        <f t="shared" si="105"/>
        <v>0</v>
      </c>
      <c r="AF152" s="210">
        <f t="shared" si="80"/>
        <v>61740067.472649917</v>
      </c>
      <c r="AG152" s="203">
        <f t="shared" si="106"/>
        <v>0</v>
      </c>
      <c r="AH152" s="204">
        <f t="shared" si="107"/>
        <v>0</v>
      </c>
      <c r="AI152" s="204">
        <f t="shared" si="108"/>
        <v>6149409.1108217007</v>
      </c>
      <c r="AJ152" s="204">
        <f t="shared" si="109"/>
        <v>1229881.8221643399</v>
      </c>
      <c r="AK152" s="204">
        <f t="shared" si="110"/>
        <v>0</v>
      </c>
      <c r="AL152" s="204">
        <f t="shared" si="111"/>
        <v>0</v>
      </c>
      <c r="AM152" s="210">
        <f t="shared" si="81"/>
        <v>7379290.9329860406</v>
      </c>
      <c r="AN152" s="203">
        <f t="shared" si="112"/>
        <v>68558147.18021895</v>
      </c>
      <c r="AO152" s="204">
        <f t="shared" si="113"/>
        <v>0</v>
      </c>
      <c r="AP152" s="204">
        <f t="shared" si="114"/>
        <v>34279073.590109475</v>
      </c>
      <c r="AQ152" s="204">
        <f t="shared" si="115"/>
        <v>48393986.24486053</v>
      </c>
      <c r="AR152" s="204">
        <f t="shared" si="116"/>
        <v>2016416.0935358554</v>
      </c>
      <c r="AS152" s="204">
        <f t="shared" si="82"/>
        <v>0</v>
      </c>
      <c r="AT152" s="210">
        <f t="shared" si="83"/>
        <v>153247623.10872483</v>
      </c>
      <c r="AU152" s="222">
        <v>0</v>
      </c>
      <c r="AV152" s="214">
        <f t="shared" si="84"/>
        <v>222.36698151436079</v>
      </c>
      <c r="AW152" s="225">
        <f t="shared" si="131"/>
        <v>3.6890867981193103</v>
      </c>
    </row>
    <row r="153" spans="1:49">
      <c r="A153" s="166">
        <f>'Input data'!A145</f>
        <v>2045</v>
      </c>
      <c r="B153" s="177">
        <f>'Input data'!B145</f>
        <v>73.619545999999971</v>
      </c>
      <c r="C153" s="100">
        <f>'Recycling - Case 1'!E125</f>
        <v>0.95678787878787841</v>
      </c>
      <c r="D153" s="471">
        <f>'Recycling - Case 1'!F125</f>
        <v>0.3554848484848484</v>
      </c>
      <c r="E153" s="203">
        <f t="shared" si="130"/>
        <v>1145852343.9613247</v>
      </c>
      <c r="F153" s="204">
        <v>0</v>
      </c>
      <c r="G153" s="205">
        <f t="shared" si="78"/>
        <v>1145852343.9613247</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23906646.630829476</v>
      </c>
      <c r="AA153" s="204">
        <f t="shared" si="101"/>
        <v>0</v>
      </c>
      <c r="AB153" s="204">
        <f t="shared" si="102"/>
        <v>23906646.630829476</v>
      </c>
      <c r="AC153" s="204">
        <f t="shared" si="103"/>
        <v>13387722.113264497</v>
      </c>
      <c r="AD153" s="204">
        <f t="shared" si="104"/>
        <v>1912531.7304663544</v>
      </c>
      <c r="AE153" s="204">
        <f t="shared" si="105"/>
        <v>0</v>
      </c>
      <c r="AF153" s="210">
        <f t="shared" si="80"/>
        <v>63113547.105389804</v>
      </c>
      <c r="AG153" s="203">
        <f t="shared" si="106"/>
        <v>0</v>
      </c>
      <c r="AH153" s="204">
        <f t="shared" si="107"/>
        <v>0</v>
      </c>
      <c r="AI153" s="204">
        <f t="shared" si="108"/>
        <v>6187602.6573911523</v>
      </c>
      <c r="AJ153" s="204">
        <f t="shared" si="109"/>
        <v>1237520.5314782304</v>
      </c>
      <c r="AK153" s="204">
        <f t="shared" si="110"/>
        <v>0</v>
      </c>
      <c r="AL153" s="204">
        <f t="shared" si="111"/>
        <v>0</v>
      </c>
      <c r="AM153" s="210">
        <f t="shared" si="81"/>
        <v>7425123.1888693832</v>
      </c>
      <c r="AN153" s="203">
        <f t="shared" si="112"/>
        <v>69417818.365075111</v>
      </c>
      <c r="AO153" s="204">
        <f t="shared" si="113"/>
        <v>0</v>
      </c>
      <c r="AP153" s="204">
        <f t="shared" si="114"/>
        <v>34708909.182537556</v>
      </c>
      <c r="AQ153" s="204">
        <f t="shared" si="115"/>
        <v>49000812.963582516</v>
      </c>
      <c r="AR153" s="204">
        <f t="shared" si="116"/>
        <v>2041700.540149272</v>
      </c>
      <c r="AS153" s="204">
        <f t="shared" si="82"/>
        <v>0</v>
      </c>
      <c r="AT153" s="210">
        <f t="shared" si="83"/>
        <v>155169241.05134445</v>
      </c>
      <c r="AU153" s="222">
        <v>0</v>
      </c>
      <c r="AV153" s="214">
        <f t="shared" si="84"/>
        <v>225.70791134560363</v>
      </c>
      <c r="AW153" s="225">
        <f t="shared" si="131"/>
        <v>3.711999456211089</v>
      </c>
    </row>
    <row r="154" spans="1:49">
      <c r="A154" s="166">
        <f>'Input data'!A146</f>
        <v>2046</v>
      </c>
      <c r="B154" s="177">
        <f>'Input data'!B146</f>
        <v>73.995362001779526</v>
      </c>
      <c r="C154" s="100">
        <f>'Recycling - Case 1'!E126</f>
        <v>0.96543030303030264</v>
      </c>
      <c r="D154" s="471">
        <f>'Recycling - Case 1'!F126</f>
        <v>0.3578378787878787</v>
      </c>
      <c r="E154" s="203">
        <f t="shared" si="130"/>
        <v>1151701736.8187225</v>
      </c>
      <c r="F154" s="204">
        <v>0</v>
      </c>
      <c r="G154" s="205">
        <f t="shared" si="78"/>
        <v>1151701736.8187225</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24405606.804767676</v>
      </c>
      <c r="AA154" s="204">
        <f t="shared" si="101"/>
        <v>0</v>
      </c>
      <c r="AB154" s="204">
        <f t="shared" si="102"/>
        <v>24405606.804767676</v>
      </c>
      <c r="AC154" s="204">
        <f t="shared" si="103"/>
        <v>13667139.81066989</v>
      </c>
      <c r="AD154" s="204">
        <f t="shared" si="104"/>
        <v>1952448.5443814099</v>
      </c>
      <c r="AE154" s="204">
        <f t="shared" si="105"/>
        <v>0</v>
      </c>
      <c r="AF154" s="210">
        <f t="shared" si="80"/>
        <v>64430801.964586653</v>
      </c>
      <c r="AG154" s="203">
        <f t="shared" si="106"/>
        <v>0</v>
      </c>
      <c r="AH154" s="204">
        <f t="shared" si="107"/>
        <v>0</v>
      </c>
      <c r="AI154" s="204">
        <f t="shared" si="108"/>
        <v>6219189.378821101</v>
      </c>
      <c r="AJ154" s="204">
        <f t="shared" si="109"/>
        <v>1243837.87576422</v>
      </c>
      <c r="AK154" s="204">
        <f t="shared" si="110"/>
        <v>0</v>
      </c>
      <c r="AL154" s="204">
        <f t="shared" si="111"/>
        <v>0</v>
      </c>
      <c r="AM154" s="210">
        <f t="shared" si="81"/>
        <v>7463027.2545853211</v>
      </c>
      <c r="AN154" s="203">
        <f t="shared" si="112"/>
        <v>70208261.377258733</v>
      </c>
      <c r="AO154" s="204">
        <f t="shared" si="113"/>
        <v>0</v>
      </c>
      <c r="AP154" s="204">
        <f t="shared" si="114"/>
        <v>35104130.688629366</v>
      </c>
      <c r="AQ154" s="204">
        <f t="shared" si="115"/>
        <v>49558772.73688861</v>
      </c>
      <c r="AR154" s="204">
        <f t="shared" si="116"/>
        <v>2064948.8640370257</v>
      </c>
      <c r="AS154" s="204">
        <f t="shared" si="82"/>
        <v>0</v>
      </c>
      <c r="AT154" s="210">
        <f t="shared" si="83"/>
        <v>156936113.66681376</v>
      </c>
      <c r="AU154" s="222">
        <v>0</v>
      </c>
      <c r="AV154" s="214">
        <f t="shared" si="84"/>
        <v>228.82994288598573</v>
      </c>
      <c r="AW154" s="225">
        <f t="shared" si="131"/>
        <v>3.7309486194433799</v>
      </c>
    </row>
    <row r="155" spans="1:49">
      <c r="A155" s="166">
        <f>'Input data'!A147</f>
        <v>2047</v>
      </c>
      <c r="B155" s="177">
        <f>'Input data'!B147</f>
        <v>74.373096484110363</v>
      </c>
      <c r="C155" s="100">
        <f>'Recycling - Case 1'!E127</f>
        <v>0.97407272727272687</v>
      </c>
      <c r="D155" s="471">
        <f>'Recycling - Case 1'!F127</f>
        <v>0.36019090909090901</v>
      </c>
      <c r="E155" s="203">
        <f t="shared" si="130"/>
        <v>1157580989.8906419</v>
      </c>
      <c r="F155" s="204">
        <v>0</v>
      </c>
      <c r="G155" s="205">
        <f t="shared" si="78"/>
        <v>1157580989.8906419</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24909038.209737744</v>
      </c>
      <c r="AA155" s="204">
        <f t="shared" si="101"/>
        <v>0</v>
      </c>
      <c r="AB155" s="204">
        <f t="shared" si="102"/>
        <v>24909038.209737744</v>
      </c>
      <c r="AC155" s="204">
        <f t="shared" si="103"/>
        <v>13949061.397453126</v>
      </c>
      <c r="AD155" s="204">
        <f t="shared" si="104"/>
        <v>1992723.0567790151</v>
      </c>
      <c r="AE155" s="204">
        <f t="shared" si="105"/>
        <v>0</v>
      </c>
      <c r="AF155" s="210">
        <f t="shared" si="80"/>
        <v>65759860.873707622</v>
      </c>
      <c r="AG155" s="203">
        <f t="shared" si="106"/>
        <v>0</v>
      </c>
      <c r="AH155" s="204">
        <f t="shared" si="107"/>
        <v>0</v>
      </c>
      <c r="AI155" s="204">
        <f t="shared" si="108"/>
        <v>6250937.345409466</v>
      </c>
      <c r="AJ155" s="204">
        <f t="shared" si="109"/>
        <v>1250187.4690818931</v>
      </c>
      <c r="AK155" s="204">
        <f t="shared" si="110"/>
        <v>0</v>
      </c>
      <c r="AL155" s="204">
        <f t="shared" si="111"/>
        <v>0</v>
      </c>
      <c r="AM155" s="210">
        <f t="shared" si="81"/>
        <v>7501124.8144913595</v>
      </c>
      <c r="AN155" s="203">
        <f t="shared" si="112"/>
        <v>71004965.573537484</v>
      </c>
      <c r="AO155" s="204">
        <f t="shared" si="113"/>
        <v>0</v>
      </c>
      <c r="AP155" s="204">
        <f t="shared" si="114"/>
        <v>35502482.786768742</v>
      </c>
      <c r="AQ155" s="204">
        <f t="shared" si="115"/>
        <v>50121152.169555962</v>
      </c>
      <c r="AR155" s="204">
        <f t="shared" si="116"/>
        <v>2088381.3403981649</v>
      </c>
      <c r="AS155" s="204">
        <f t="shared" si="82"/>
        <v>0</v>
      </c>
      <c r="AT155" s="210">
        <f t="shared" si="83"/>
        <v>158716981.87026036</v>
      </c>
      <c r="AU155" s="222">
        <v>0</v>
      </c>
      <c r="AV155" s="214">
        <f t="shared" si="84"/>
        <v>231.97796755845934</v>
      </c>
      <c r="AW155" s="225">
        <f t="shared" si="131"/>
        <v>3.74999451512174</v>
      </c>
    </row>
    <row r="156" spans="1:49">
      <c r="A156" s="166">
        <f>'Input data'!A148</f>
        <v>2048</v>
      </c>
      <c r="B156" s="177">
        <f>'Input data'!B148</f>
        <v>74.752759240528661</v>
      </c>
      <c r="C156" s="100">
        <f>'Recycling - Case 1'!E128</f>
        <v>0.9827151515151511</v>
      </c>
      <c r="D156" s="471">
        <f>'Recycling - Case 1'!F128</f>
        <v>0.36254393939393931</v>
      </c>
      <c r="E156" s="203">
        <f t="shared" si="130"/>
        <v>1163490255.6086991</v>
      </c>
      <c r="F156" s="204">
        <v>0</v>
      </c>
      <c r="G156" s="205">
        <f t="shared" si="78"/>
        <v>1163490255.6086991</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25416973.49297915</v>
      </c>
      <c r="AA156" s="204">
        <f t="shared" si="101"/>
        <v>0</v>
      </c>
      <c r="AB156" s="204">
        <f t="shared" si="102"/>
        <v>25416973.49297915</v>
      </c>
      <c r="AC156" s="204">
        <f t="shared" si="103"/>
        <v>14233505.15606831</v>
      </c>
      <c r="AD156" s="204">
        <f t="shared" si="104"/>
        <v>2033357.8794383276</v>
      </c>
      <c r="AE156" s="204">
        <f t="shared" si="105"/>
        <v>0</v>
      </c>
      <c r="AF156" s="210">
        <f t="shared" si="80"/>
        <v>67100810.021464936</v>
      </c>
      <c r="AG156" s="203">
        <f t="shared" si="106"/>
        <v>0</v>
      </c>
      <c r="AH156" s="204">
        <f t="shared" si="107"/>
        <v>0</v>
      </c>
      <c r="AI156" s="204">
        <f t="shared" si="108"/>
        <v>6282847.3802869748</v>
      </c>
      <c r="AJ156" s="204">
        <f t="shared" si="109"/>
        <v>1256569.4760573949</v>
      </c>
      <c r="AK156" s="204">
        <f t="shared" si="110"/>
        <v>0</v>
      </c>
      <c r="AL156" s="204">
        <f t="shared" si="111"/>
        <v>0</v>
      </c>
      <c r="AM156" s="210">
        <f t="shared" si="81"/>
        <v>7539416.8563443702</v>
      </c>
      <c r="AN156" s="203">
        <f t="shared" si="112"/>
        <v>71807974.280133381</v>
      </c>
      <c r="AO156" s="204">
        <f t="shared" si="113"/>
        <v>0</v>
      </c>
      <c r="AP156" s="204">
        <f t="shared" si="114"/>
        <v>35903987.140066691</v>
      </c>
      <c r="AQ156" s="204">
        <f t="shared" si="115"/>
        <v>50687981.844800122</v>
      </c>
      <c r="AR156" s="204">
        <f t="shared" si="116"/>
        <v>2111999.2435333389</v>
      </c>
      <c r="AS156" s="204">
        <f t="shared" si="82"/>
        <v>0</v>
      </c>
      <c r="AT156" s="210">
        <f t="shared" si="83"/>
        <v>160511942.50853354</v>
      </c>
      <c r="AU156" s="222">
        <v>0</v>
      </c>
      <c r="AV156" s="214">
        <f t="shared" si="84"/>
        <v>235.15216938634282</v>
      </c>
      <c r="AW156" s="225">
        <f t="shared" si="131"/>
        <v>3.769137637049826</v>
      </c>
    </row>
    <row r="157" spans="1:49">
      <c r="A157" s="166">
        <f>'Input data'!A149</f>
        <v>2049</v>
      </c>
      <c r="B157" s="177">
        <f>'Input data'!B149</f>
        <v>75.134360114565098</v>
      </c>
      <c r="C157" s="100">
        <f>'Recycling - Case 1'!E129</f>
        <v>0.99135757575757533</v>
      </c>
      <c r="D157" s="471">
        <f>'Recycling - Case 1'!F129</f>
        <v>0.36489696969696961</v>
      </c>
      <c r="E157" s="203">
        <f t="shared" si="130"/>
        <v>1169429687.1826501</v>
      </c>
      <c r="F157" s="204">
        <v>0</v>
      </c>
      <c r="G157" s="205">
        <f t="shared" si="78"/>
        <v>1169429687.1826501</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25929445.518531691</v>
      </c>
      <c r="AA157" s="204">
        <f t="shared" si="101"/>
        <v>0</v>
      </c>
      <c r="AB157" s="204">
        <f t="shared" si="102"/>
        <v>25929445.518531691</v>
      </c>
      <c r="AC157" s="204">
        <f t="shared" si="103"/>
        <v>14520489.490377732</v>
      </c>
      <c r="AD157" s="204">
        <f t="shared" si="104"/>
        <v>2074355.6414825306</v>
      </c>
      <c r="AE157" s="204">
        <f t="shared" si="105"/>
        <v>0</v>
      </c>
      <c r="AF157" s="210">
        <f t="shared" si="80"/>
        <v>68453736.168923646</v>
      </c>
      <c r="AG157" s="203">
        <f t="shared" si="106"/>
        <v>0</v>
      </c>
      <c r="AH157" s="204">
        <f t="shared" si="107"/>
        <v>0</v>
      </c>
      <c r="AI157" s="204">
        <f t="shared" si="108"/>
        <v>6314920.3107863097</v>
      </c>
      <c r="AJ157" s="204">
        <f t="shared" si="109"/>
        <v>1262984.0621572619</v>
      </c>
      <c r="AK157" s="204">
        <f t="shared" si="110"/>
        <v>0</v>
      </c>
      <c r="AL157" s="204">
        <f t="shared" si="111"/>
        <v>0</v>
      </c>
      <c r="AM157" s="210">
        <f t="shared" si="81"/>
        <v>7577904.3729435718</v>
      </c>
      <c r="AN157" s="203">
        <f t="shared" si="112"/>
        <v>72617331.10245277</v>
      </c>
      <c r="AO157" s="204">
        <f t="shared" si="113"/>
        <v>0</v>
      </c>
      <c r="AP157" s="204">
        <f t="shared" si="114"/>
        <v>36308665.551226385</v>
      </c>
      <c r="AQ157" s="204">
        <f t="shared" si="115"/>
        <v>51259292.542907931</v>
      </c>
      <c r="AR157" s="204">
        <f t="shared" si="116"/>
        <v>2135803.8559544971</v>
      </c>
      <c r="AS157" s="204">
        <f t="shared" si="82"/>
        <v>0</v>
      </c>
      <c r="AT157" s="210">
        <f t="shared" si="83"/>
        <v>162321093.05254158</v>
      </c>
      <c r="AU157" s="222">
        <v>0</v>
      </c>
      <c r="AV157" s="214">
        <f t="shared" si="84"/>
        <v>238.35273359440882</v>
      </c>
      <c r="AW157" s="225">
        <f t="shared" si="131"/>
        <v>3.7883784815520856</v>
      </c>
    </row>
    <row r="158" spans="1:49" ht="15" thickBot="1">
      <c r="A158" s="168">
        <f>'Input data'!A150</f>
        <v>2050</v>
      </c>
      <c r="B158" s="178">
        <f>'Input data'!B150</f>
        <v>75.517908999999989</v>
      </c>
      <c r="C158" s="581">
        <f>'Recycling - Case 1'!E130</f>
        <v>1</v>
      </c>
      <c r="D158" s="582">
        <f>'Recycling - Case 1'!F130</f>
        <v>0.36725000000000002</v>
      </c>
      <c r="E158" s="206">
        <f>B158*$C$4*($C$7*$C$11+$C$8*$C$10+$C$7*$C$12)*10^6</f>
        <v>1175399438.6043625</v>
      </c>
      <c r="F158" s="207">
        <v>0</v>
      </c>
      <c r="G158" s="208">
        <f t="shared" si="78"/>
        <v>1175399438.6043625</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26446487.368598159</v>
      </c>
      <c r="AA158" s="207">
        <f t="shared" si="101"/>
        <v>0</v>
      </c>
      <c r="AB158" s="207">
        <f t="shared" si="102"/>
        <v>26446487.368598159</v>
      </c>
      <c r="AC158" s="207">
        <f t="shared" si="103"/>
        <v>14810032.926414972</v>
      </c>
      <c r="AD158" s="207">
        <f t="shared" si="104"/>
        <v>2115718.9894878524</v>
      </c>
      <c r="AE158" s="207">
        <f t="shared" si="105"/>
        <v>0</v>
      </c>
      <c r="AF158" s="211">
        <f t="shared" si="80"/>
        <v>69818726.653099149</v>
      </c>
      <c r="AG158" s="206">
        <f t="shared" si="106"/>
        <v>0</v>
      </c>
      <c r="AH158" s="207">
        <f t="shared" si="107"/>
        <v>0</v>
      </c>
      <c r="AI158" s="207">
        <f t="shared" si="108"/>
        <v>6347156.9684635568</v>
      </c>
      <c r="AJ158" s="207">
        <f t="shared" si="109"/>
        <v>1269431.3936927111</v>
      </c>
      <c r="AK158" s="207">
        <f t="shared" si="110"/>
        <v>0</v>
      </c>
      <c r="AL158" s="207">
        <f t="shared" si="111"/>
        <v>0</v>
      </c>
      <c r="AM158" s="211">
        <f t="shared" si="81"/>
        <v>7616588.3621562682</v>
      </c>
      <c r="AN158" s="206">
        <f t="shared" si="112"/>
        <v>73433079.926807553</v>
      </c>
      <c r="AO158" s="207">
        <f t="shared" si="113"/>
        <v>0</v>
      </c>
      <c r="AP158" s="207">
        <f t="shared" si="114"/>
        <v>36716539.963403776</v>
      </c>
      <c r="AQ158" s="207">
        <f t="shared" si="115"/>
        <v>51835115.242452383</v>
      </c>
      <c r="AR158" s="207">
        <f t="shared" si="116"/>
        <v>2159796.4684355161</v>
      </c>
      <c r="AS158" s="207">
        <f t="shared" si="82"/>
        <v>0</v>
      </c>
      <c r="AT158" s="211">
        <f t="shared" si="83"/>
        <v>164144531.60109925</v>
      </c>
      <c r="AU158" s="223">
        <v>0</v>
      </c>
      <c r="AV158" s="217">
        <f t="shared" si="84"/>
        <v>241.57984661635467</v>
      </c>
      <c r="AW158" s="226">
        <f t="shared" si="131"/>
        <v>3.8077175474866229</v>
      </c>
    </row>
    <row r="159" spans="1:49" ht="21.6"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59.308690000000006</v>
      </c>
      <c r="C162" s="100">
        <f>'Recycling - Case 2'!E100</f>
        <v>0.78061538461538471</v>
      </c>
      <c r="D162" s="471">
        <f>'Recycling - Case 2'!F100</f>
        <v>0.30751923076923071</v>
      </c>
      <c r="E162" s="203">
        <f t="shared" si="155"/>
        <v>923110846.86362517</v>
      </c>
      <c r="F162" s="204">
        <v>0</v>
      </c>
      <c r="G162" s="205">
        <f t="shared" si="132"/>
        <v>923110846.86362517</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13101073.172795299</v>
      </c>
      <c r="AA162" s="204">
        <f t="shared" si="134"/>
        <v>0</v>
      </c>
      <c r="AB162" s="204">
        <f t="shared" si="135"/>
        <v>13101073.172795299</v>
      </c>
      <c r="AC162" s="204">
        <f t="shared" si="136"/>
        <v>7336600.9767653672</v>
      </c>
      <c r="AD162" s="204">
        <f t="shared" si="137"/>
        <v>1048085.8538236235</v>
      </c>
      <c r="AE162" s="204">
        <f t="shared" si="138"/>
        <v>0</v>
      </c>
      <c r="AF162" s="839">
        <f t="shared" si="139"/>
        <v>34586833.176179588</v>
      </c>
      <c r="AG162" s="203">
        <f t="shared" si="140"/>
        <v>0</v>
      </c>
      <c r="AH162" s="204">
        <f t="shared" si="141"/>
        <v>0</v>
      </c>
      <c r="AI162" s="204">
        <f t="shared" si="142"/>
        <v>4984798.5730635757</v>
      </c>
      <c r="AJ162" s="204">
        <f t="shared" si="143"/>
        <v>996959.71461271506</v>
      </c>
      <c r="AK162" s="204">
        <f t="shared" si="144"/>
        <v>0</v>
      </c>
      <c r="AL162" s="204">
        <f t="shared" si="145"/>
        <v>0</v>
      </c>
      <c r="AM162" s="210">
        <f t="shared" si="146"/>
        <v>5981758.2876762906</v>
      </c>
      <c r="AN162" s="203">
        <f t="shared" si="147"/>
        <v>48798834.748911917</v>
      </c>
      <c r="AO162" s="204">
        <f t="shared" si="148"/>
        <v>0</v>
      </c>
      <c r="AP162" s="204">
        <f t="shared" si="149"/>
        <v>24399417.374455959</v>
      </c>
      <c r="AQ162" s="204">
        <f t="shared" si="150"/>
        <v>34446236.293349579</v>
      </c>
      <c r="AR162" s="204">
        <f t="shared" si="151"/>
        <v>1435259.8455562324</v>
      </c>
      <c r="AS162" s="204">
        <f t="shared" si="152"/>
        <v>0</v>
      </c>
      <c r="AT162" s="210">
        <f t="shared" si="153"/>
        <v>109079748.26227368</v>
      </c>
      <c r="AU162" s="222">
        <v>0</v>
      </c>
      <c r="AV162" s="214">
        <f t="shared" si="167"/>
        <v>149.64833972612956</v>
      </c>
      <c r="AW162" s="225">
        <f t="shared" si="154"/>
        <v>2.9904262793007734</v>
      </c>
    </row>
    <row r="163" spans="1:49">
      <c r="A163" s="166">
        <f>'Input data'!A121</f>
        <v>2021</v>
      </c>
      <c r="B163" s="177">
        <f>'Input data'!B121</f>
        <v>59.991580449204264</v>
      </c>
      <c r="C163" s="100">
        <f>'Recycling - Case 2'!E101</f>
        <v>0.80255384615384628</v>
      </c>
      <c r="D163" s="471">
        <f>'Recycling - Case 2'!F101</f>
        <v>0.31349230769230763</v>
      </c>
      <c r="E163" s="203">
        <f t="shared" si="155"/>
        <v>933739703.79639542</v>
      </c>
      <c r="F163" s="204">
        <v>0</v>
      </c>
      <c r="G163" s="205">
        <f t="shared" si="132"/>
        <v>933739703.79639542</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14027643.396264313</v>
      </c>
      <c r="AA163" s="204">
        <f t="shared" si="134"/>
        <v>0</v>
      </c>
      <c r="AB163" s="204">
        <f t="shared" si="135"/>
        <v>14027643.396264313</v>
      </c>
      <c r="AC163" s="204">
        <f t="shared" si="136"/>
        <v>7855480.3019080153</v>
      </c>
      <c r="AD163" s="204">
        <f t="shared" si="137"/>
        <v>1122211.4717011447</v>
      </c>
      <c r="AE163" s="204">
        <f t="shared" si="138"/>
        <v>0</v>
      </c>
      <c r="AF163" s="839">
        <f t="shared" si="139"/>
        <v>37032978.566137783</v>
      </c>
      <c r="AG163" s="203">
        <f t="shared" si="140"/>
        <v>0</v>
      </c>
      <c r="AH163" s="204">
        <f t="shared" si="141"/>
        <v>0</v>
      </c>
      <c r="AI163" s="204">
        <f t="shared" si="142"/>
        <v>5042194.400500535</v>
      </c>
      <c r="AJ163" s="204">
        <f t="shared" si="143"/>
        <v>1008438.8801001071</v>
      </c>
      <c r="AK163" s="204">
        <f t="shared" si="144"/>
        <v>0</v>
      </c>
      <c r="AL163" s="204">
        <f t="shared" si="145"/>
        <v>0</v>
      </c>
      <c r="AM163" s="210">
        <f t="shared" si="146"/>
        <v>6050633.2806006419</v>
      </c>
      <c r="AN163" s="203">
        <f t="shared" si="147"/>
        <v>50258180.426185682</v>
      </c>
      <c r="AO163" s="204">
        <f t="shared" si="148"/>
        <v>0</v>
      </c>
      <c r="AP163" s="204">
        <f t="shared" si="149"/>
        <v>25129090.213092841</v>
      </c>
      <c r="AQ163" s="204">
        <f t="shared" si="150"/>
        <v>35476362.653778128</v>
      </c>
      <c r="AR163" s="204">
        <f t="shared" si="151"/>
        <v>1478181.777240755</v>
      </c>
      <c r="AS163" s="204">
        <f t="shared" si="152"/>
        <v>0</v>
      </c>
      <c r="AT163" s="210">
        <f t="shared" si="153"/>
        <v>112341815.07029742</v>
      </c>
      <c r="AU163" s="222">
        <v>0</v>
      </c>
      <c r="AV163" s="214">
        <f t="shared" si="167"/>
        <v>155.42542691703585</v>
      </c>
      <c r="AW163" s="225">
        <f t="shared" si="154"/>
        <v>3.0248585614028385</v>
      </c>
    </row>
    <row r="164" spans="1:49">
      <c r="A164" s="166">
        <f>'Input data'!A122</f>
        <v>2022</v>
      </c>
      <c r="B164" s="177">
        <f>'Input data'!B122</f>
        <v>60.682333816399378</v>
      </c>
      <c r="C164" s="100">
        <f>'Recycling - Case 2'!E102</f>
        <v>0.82449230769230786</v>
      </c>
      <c r="D164" s="471">
        <f>'Recycling - Case 2'!F102</f>
        <v>0.31946538461538454</v>
      </c>
      <c r="E164" s="203">
        <f t="shared" si="155"/>
        <v>944490943.21452093</v>
      </c>
      <c r="F164" s="204">
        <v>0</v>
      </c>
      <c r="G164" s="205">
        <f t="shared" si="132"/>
        <v>944490943.21452093</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14973814.107424062</v>
      </c>
      <c r="AA164" s="204">
        <f t="shared" si="134"/>
        <v>0</v>
      </c>
      <c r="AB164" s="204">
        <f t="shared" si="135"/>
        <v>14973814.107424062</v>
      </c>
      <c r="AC164" s="204">
        <f t="shared" si="136"/>
        <v>8385335.9001574758</v>
      </c>
      <c r="AD164" s="204">
        <f t="shared" si="137"/>
        <v>1197905.1285939245</v>
      </c>
      <c r="AE164" s="204">
        <f t="shared" si="138"/>
        <v>0</v>
      </c>
      <c r="AF164" s="839">
        <f t="shared" si="139"/>
        <v>39530869.243599519</v>
      </c>
      <c r="AG164" s="203">
        <f t="shared" si="140"/>
        <v>0</v>
      </c>
      <c r="AH164" s="204">
        <f t="shared" si="141"/>
        <v>0</v>
      </c>
      <c r="AI164" s="204">
        <f t="shared" si="142"/>
        <v>5100251.0933584133</v>
      </c>
      <c r="AJ164" s="204">
        <f t="shared" si="143"/>
        <v>1020050.2186716824</v>
      </c>
      <c r="AK164" s="204">
        <f t="shared" si="144"/>
        <v>0</v>
      </c>
      <c r="AL164" s="204">
        <f t="shared" si="145"/>
        <v>0</v>
      </c>
      <c r="AM164" s="210">
        <f t="shared" si="146"/>
        <v>6120301.3120300956</v>
      </c>
      <c r="AN164" s="203">
        <f t="shared" si="147"/>
        <v>51744662.855502322</v>
      </c>
      <c r="AO164" s="204">
        <f t="shared" si="148"/>
        <v>0</v>
      </c>
      <c r="AP164" s="204">
        <f t="shared" si="149"/>
        <v>25872331.427751161</v>
      </c>
      <c r="AQ164" s="204">
        <f t="shared" si="150"/>
        <v>36525644.368589871</v>
      </c>
      <c r="AR164" s="204">
        <f t="shared" si="151"/>
        <v>1521901.8486912439</v>
      </c>
      <c r="AS164" s="204">
        <f t="shared" si="152"/>
        <v>0</v>
      </c>
      <c r="AT164" s="210">
        <f t="shared" si="153"/>
        <v>115664540.50053461</v>
      </c>
      <c r="AU164" s="222">
        <v>0</v>
      </c>
      <c r="AV164" s="214">
        <f t="shared" si="167"/>
        <v>161.31571105616422</v>
      </c>
      <c r="AW164" s="225">
        <f t="shared" si="154"/>
        <v>3.0596873027184164</v>
      </c>
    </row>
    <row r="165" spans="1:49">
      <c r="A165" s="166">
        <f>'Input data'!A123</f>
        <v>2023</v>
      </c>
      <c r="B165" s="177">
        <f>'Input data'!B123</f>
        <v>61.381040636574369</v>
      </c>
      <c r="C165" s="100">
        <f>'Recycling - Case 2'!E103</f>
        <v>0.84643076923076943</v>
      </c>
      <c r="D165" s="471">
        <f>'Recycling - Case 2'!F103</f>
        <v>0.32543846153846145</v>
      </c>
      <c r="E165" s="203">
        <f t="shared" si="155"/>
        <v>955365974.25096989</v>
      </c>
      <c r="F165" s="204">
        <v>0</v>
      </c>
      <c r="G165" s="205">
        <f t="shared" si="132"/>
        <v>955365974.25096989</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15939913.831925798</v>
      </c>
      <c r="AA165" s="204">
        <f t="shared" si="134"/>
        <v>0</v>
      </c>
      <c r="AB165" s="204">
        <f t="shared" si="135"/>
        <v>15939913.831925798</v>
      </c>
      <c r="AC165" s="204">
        <f t="shared" si="136"/>
        <v>8926351.7458784506</v>
      </c>
      <c r="AD165" s="204">
        <f t="shared" si="137"/>
        <v>1275193.1065540635</v>
      </c>
      <c r="AE165" s="204">
        <f t="shared" si="138"/>
        <v>0</v>
      </c>
      <c r="AF165" s="839">
        <f t="shared" si="139"/>
        <v>42081372.516284108</v>
      </c>
      <c r="AG165" s="203">
        <f t="shared" si="140"/>
        <v>0</v>
      </c>
      <c r="AH165" s="204">
        <f t="shared" si="141"/>
        <v>0</v>
      </c>
      <c r="AI165" s="204">
        <f t="shared" si="142"/>
        <v>5158976.2609552369</v>
      </c>
      <c r="AJ165" s="204">
        <f t="shared" si="143"/>
        <v>1031795.2521910473</v>
      </c>
      <c r="AK165" s="204">
        <f t="shared" si="144"/>
        <v>0</v>
      </c>
      <c r="AL165" s="204">
        <f t="shared" si="145"/>
        <v>0</v>
      </c>
      <c r="AM165" s="210">
        <f t="shared" si="146"/>
        <v>6190771.513146284</v>
      </c>
      <c r="AN165" s="203">
        <f t="shared" si="147"/>
        <v>53258713.476878501</v>
      </c>
      <c r="AO165" s="204">
        <f t="shared" si="148"/>
        <v>0</v>
      </c>
      <c r="AP165" s="204">
        <f t="shared" si="149"/>
        <v>26629356.738439251</v>
      </c>
      <c r="AQ165" s="204">
        <f t="shared" si="150"/>
        <v>37594385.983678937</v>
      </c>
      <c r="AR165" s="204">
        <f t="shared" si="151"/>
        <v>1566432.749319955</v>
      </c>
      <c r="AS165" s="204">
        <f t="shared" si="152"/>
        <v>0</v>
      </c>
      <c r="AT165" s="210">
        <f t="shared" si="153"/>
        <v>119048888.94831665</v>
      </c>
      <c r="AU165" s="222">
        <v>0</v>
      </c>
      <c r="AV165" s="214">
        <f t="shared" si="167"/>
        <v>167.32103297774702</v>
      </c>
      <c r="AW165" s="225">
        <f t="shared" si="154"/>
        <v>3.0949170681470224</v>
      </c>
    </row>
    <row r="166" spans="1:49">
      <c r="A166" s="166">
        <f>'Input data'!A124</f>
        <v>2024</v>
      </c>
      <c r="B166" s="177">
        <f>'Input data'!B124</f>
        <v>62.087792487153699</v>
      </c>
      <c r="C166" s="100">
        <f>'Recycling - Case 2'!E104</f>
        <v>0.868369230769231</v>
      </c>
      <c r="D166" s="471">
        <f>'Recycling - Case 2'!F104</f>
        <v>0.33141153846153837</v>
      </c>
      <c r="E166" s="203">
        <f t="shared" si="155"/>
        <v>966366222.26371002</v>
      </c>
      <c r="F166" s="204">
        <v>0</v>
      </c>
      <c r="G166" s="205">
        <f t="shared" si="132"/>
        <v>966366222.26371002</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16926276.062265135</v>
      </c>
      <c r="AA166" s="204">
        <f t="shared" si="134"/>
        <v>0</v>
      </c>
      <c r="AB166" s="204">
        <f t="shared" si="135"/>
        <v>16926276.062265135</v>
      </c>
      <c r="AC166" s="204">
        <f t="shared" si="136"/>
        <v>9478714.5948684812</v>
      </c>
      <c r="AD166" s="204">
        <f t="shared" si="137"/>
        <v>1354102.0849812105</v>
      </c>
      <c r="AE166" s="204">
        <f t="shared" si="138"/>
        <v>0</v>
      </c>
      <c r="AF166" s="839">
        <f t="shared" si="139"/>
        <v>44685368.804379962</v>
      </c>
      <c r="AG166" s="203">
        <f t="shared" si="140"/>
        <v>0</v>
      </c>
      <c r="AH166" s="204">
        <f t="shared" si="141"/>
        <v>0</v>
      </c>
      <c r="AI166" s="204">
        <f t="shared" si="142"/>
        <v>5218377.6002240339</v>
      </c>
      <c r="AJ166" s="204">
        <f t="shared" si="143"/>
        <v>1043675.5200448068</v>
      </c>
      <c r="AK166" s="204">
        <f t="shared" si="144"/>
        <v>0</v>
      </c>
      <c r="AL166" s="204">
        <f t="shared" si="145"/>
        <v>0</v>
      </c>
      <c r="AM166" s="210">
        <f t="shared" si="146"/>
        <v>6262053.1202688403</v>
      </c>
      <c r="AN166" s="203">
        <f t="shared" si="147"/>
        <v>54800770.06799373</v>
      </c>
      <c r="AO166" s="204">
        <f t="shared" si="148"/>
        <v>0</v>
      </c>
      <c r="AP166" s="204">
        <f t="shared" si="149"/>
        <v>27400385.033996865</v>
      </c>
      <c r="AQ166" s="204">
        <f t="shared" si="150"/>
        <v>38682896.518583804</v>
      </c>
      <c r="AR166" s="204">
        <f t="shared" si="151"/>
        <v>1611787.3549409909</v>
      </c>
      <c r="AS166" s="204">
        <f t="shared" si="152"/>
        <v>0</v>
      </c>
      <c r="AT166" s="210">
        <f t="shared" si="153"/>
        <v>122495838.9755154</v>
      </c>
      <c r="AU166" s="222">
        <v>0</v>
      </c>
      <c r="AV166" s="214">
        <f t="shared" si="167"/>
        <v>173.44326090016418</v>
      </c>
      <c r="AW166" s="225">
        <f t="shared" si="154"/>
        <v>3.1305524751492158</v>
      </c>
    </row>
    <row r="167" spans="1:49">
      <c r="A167" s="166">
        <f>'Input data'!A125</f>
        <v>2025</v>
      </c>
      <c r="B167" s="177">
        <f>'Input data'!B125</f>
        <v>62.802682000000026</v>
      </c>
      <c r="C167" s="100">
        <f>'Recycling - Case 2'!E105</f>
        <v>0.89030769230769258</v>
      </c>
      <c r="D167" s="471">
        <f>'Recycling - Case 2'!F105</f>
        <v>0.33738461538461528</v>
      </c>
      <c r="E167" s="203">
        <f t="shared" si="155"/>
        <v>977493129.02252555</v>
      </c>
      <c r="F167" s="204">
        <v>0</v>
      </c>
      <c r="G167" s="205">
        <f t="shared" si="132"/>
        <v>977493129.02252555</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17933239.328605562</v>
      </c>
      <c r="AA167" s="204">
        <f t="shared" si="134"/>
        <v>0</v>
      </c>
      <c r="AB167" s="204">
        <f t="shared" si="135"/>
        <v>17933239.328605562</v>
      </c>
      <c r="AC167" s="204">
        <f t="shared" si="136"/>
        <v>10042614.024019122</v>
      </c>
      <c r="AD167" s="204">
        <f t="shared" si="137"/>
        <v>1434659.146288445</v>
      </c>
      <c r="AE167" s="204">
        <f t="shared" si="138"/>
        <v>0</v>
      </c>
      <c r="AF167" s="839">
        <f t="shared" si="139"/>
        <v>47343751.827518694</v>
      </c>
      <c r="AG167" s="203">
        <f t="shared" si="140"/>
        <v>0</v>
      </c>
      <c r="AH167" s="204">
        <f t="shared" si="141"/>
        <v>0</v>
      </c>
      <c r="AI167" s="204">
        <f t="shared" si="142"/>
        <v>5278462.8967216378</v>
      </c>
      <c r="AJ167" s="204">
        <f t="shared" si="143"/>
        <v>1055692.5793443273</v>
      </c>
      <c r="AK167" s="204">
        <f t="shared" si="144"/>
        <v>0</v>
      </c>
      <c r="AL167" s="204">
        <f t="shared" si="145"/>
        <v>0</v>
      </c>
      <c r="AM167" s="210">
        <f t="shared" si="146"/>
        <v>6334155.4760659654</v>
      </c>
      <c r="AN167" s="203">
        <f t="shared" si="147"/>
        <v>56371276.832937509</v>
      </c>
      <c r="AO167" s="204">
        <f t="shared" si="148"/>
        <v>0</v>
      </c>
      <c r="AP167" s="204">
        <f t="shared" si="149"/>
        <v>28185638.416468754</v>
      </c>
      <c r="AQ167" s="204">
        <f t="shared" si="150"/>
        <v>39791489.529132359</v>
      </c>
      <c r="AR167" s="204">
        <f t="shared" si="151"/>
        <v>1657978.7303805137</v>
      </c>
      <c r="AS167" s="204">
        <f t="shared" si="152"/>
        <v>0</v>
      </c>
      <c r="AT167" s="210">
        <f t="shared" si="153"/>
        <v>126006383.50891913</v>
      </c>
      <c r="AU167" s="222">
        <v>0</v>
      </c>
      <c r="AV167" s="214">
        <f t="shared" si="167"/>
        <v>179.68429081250378</v>
      </c>
      <c r="AW167" s="225">
        <f t="shared" si="154"/>
        <v>3.166598194351784</v>
      </c>
    </row>
    <row r="168" spans="1:49">
      <c r="A168" s="166">
        <f>'Input data'!A126</f>
        <v>2026</v>
      </c>
      <c r="B168" s="177">
        <f>'Input data'!B126</f>
        <v>63.421065342005143</v>
      </c>
      <c r="C168" s="100">
        <f>'Recycling - Case 2'!E106</f>
        <v>0.91224615384615415</v>
      </c>
      <c r="D168" s="471">
        <f>'Recycling - Case 2'!F106</f>
        <v>0.3433576923076922</v>
      </c>
      <c r="E168" s="203">
        <f t="shared" si="155"/>
        <v>987117964.27895594</v>
      </c>
      <c r="F168" s="204">
        <v>0</v>
      </c>
      <c r="G168" s="205">
        <f t="shared" si="132"/>
        <v>987117964.27895594</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18929885.26882644</v>
      </c>
      <c r="AA168" s="204">
        <f t="shared" si="134"/>
        <v>0</v>
      </c>
      <c r="AB168" s="204">
        <f t="shared" si="135"/>
        <v>18929885.26882644</v>
      </c>
      <c r="AC168" s="204">
        <f t="shared" si="136"/>
        <v>10600735.750542812</v>
      </c>
      <c r="AD168" s="204">
        <f t="shared" si="137"/>
        <v>1514390.8215061149</v>
      </c>
      <c r="AE168" s="204">
        <f t="shared" si="138"/>
        <v>0</v>
      </c>
      <c r="AF168" s="839">
        <f t="shared" si="139"/>
        <v>49974897.109701805</v>
      </c>
      <c r="AG168" s="203">
        <f t="shared" si="140"/>
        <v>0</v>
      </c>
      <c r="AH168" s="204">
        <f t="shared" si="141"/>
        <v>0</v>
      </c>
      <c r="AI168" s="204">
        <f t="shared" si="142"/>
        <v>5330437.0071063619</v>
      </c>
      <c r="AJ168" s="204">
        <f t="shared" si="143"/>
        <v>1066087.4014212722</v>
      </c>
      <c r="AK168" s="204">
        <f t="shared" si="144"/>
        <v>0</v>
      </c>
      <c r="AL168" s="204">
        <f t="shared" si="145"/>
        <v>0</v>
      </c>
      <c r="AM168" s="210">
        <f t="shared" si="146"/>
        <v>6396524.4085276341</v>
      </c>
      <c r="AN168" s="203">
        <f t="shared" si="147"/>
        <v>57875105.906430691</v>
      </c>
      <c r="AO168" s="204">
        <f t="shared" si="148"/>
        <v>0</v>
      </c>
      <c r="AP168" s="204">
        <f t="shared" si="149"/>
        <v>28937552.953215346</v>
      </c>
      <c r="AQ168" s="204">
        <f t="shared" si="150"/>
        <v>40853015.93395108</v>
      </c>
      <c r="AR168" s="204">
        <f t="shared" si="151"/>
        <v>1702208.9972479602</v>
      </c>
      <c r="AS168" s="204">
        <f t="shared" si="152"/>
        <v>0</v>
      </c>
      <c r="AT168" s="210">
        <f t="shared" si="153"/>
        <v>129367883.79084508</v>
      </c>
      <c r="AU168" s="222">
        <v>0</v>
      </c>
      <c r="AV168" s="214">
        <f t="shared" si="167"/>
        <v>185.73930530907452</v>
      </c>
      <c r="AW168" s="225">
        <f t="shared" si="154"/>
        <v>3.1977779387807019</v>
      </c>
    </row>
    <row r="169" spans="1:49">
      <c r="A169" s="166">
        <f>'Input data'!A127</f>
        <v>2027</v>
      </c>
      <c r="B169" s="177">
        <f>'Input data'!B127</f>
        <v>64.045537563425796</v>
      </c>
      <c r="C169" s="100">
        <f>'Recycling - Case 2'!E107</f>
        <v>0.93418461538461572</v>
      </c>
      <c r="D169" s="471">
        <f>'Recycling - Case 2'!F107</f>
        <v>0.34933076923076911</v>
      </c>
      <c r="E169" s="203">
        <f t="shared" si="155"/>
        <v>996837569.97516036</v>
      </c>
      <c r="F169" s="204">
        <v>0</v>
      </c>
      <c r="G169" s="205">
        <f t="shared" si="132"/>
        <v>996837569.97516036</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19944419.380810708</v>
      </c>
      <c r="AA169" s="204">
        <f t="shared" si="134"/>
        <v>0</v>
      </c>
      <c r="AB169" s="204">
        <f t="shared" si="135"/>
        <v>19944419.380810708</v>
      </c>
      <c r="AC169" s="204">
        <f t="shared" si="136"/>
        <v>11168874.853254002</v>
      </c>
      <c r="AD169" s="204">
        <f t="shared" si="137"/>
        <v>1595553.5504648569</v>
      </c>
      <c r="AE169" s="204">
        <f t="shared" si="138"/>
        <v>0</v>
      </c>
      <c r="AF169" s="839">
        <f t="shared" si="139"/>
        <v>52653267.165340275</v>
      </c>
      <c r="AG169" s="203">
        <f t="shared" si="140"/>
        <v>0</v>
      </c>
      <c r="AH169" s="204">
        <f t="shared" si="141"/>
        <v>0</v>
      </c>
      <c r="AI169" s="204">
        <f t="shared" si="142"/>
        <v>5382922.8778658658</v>
      </c>
      <c r="AJ169" s="204">
        <f t="shared" si="143"/>
        <v>1076584.5755731731</v>
      </c>
      <c r="AK169" s="204">
        <f t="shared" si="144"/>
        <v>0</v>
      </c>
      <c r="AL169" s="204">
        <f t="shared" si="145"/>
        <v>0</v>
      </c>
      <c r="AM169" s="210">
        <f t="shared" si="146"/>
        <v>6459507.4534390392</v>
      </c>
      <c r="AN169" s="203">
        <f t="shared" si="147"/>
        <v>59403084.391081326</v>
      </c>
      <c r="AO169" s="204">
        <f t="shared" si="148"/>
        <v>0</v>
      </c>
      <c r="AP169" s="204">
        <f t="shared" si="149"/>
        <v>29701542.195540663</v>
      </c>
      <c r="AQ169" s="204">
        <f t="shared" si="150"/>
        <v>41931588.981939763</v>
      </c>
      <c r="AR169" s="204">
        <f t="shared" si="151"/>
        <v>1747149.5409141548</v>
      </c>
      <c r="AS169" s="204">
        <f t="shared" si="152"/>
        <v>0</v>
      </c>
      <c r="AT169" s="210">
        <f t="shared" si="153"/>
        <v>132783365.1094759</v>
      </c>
      <c r="AU169" s="222">
        <v>0</v>
      </c>
      <c r="AV169" s="214">
        <f t="shared" si="167"/>
        <v>191.89613972825521</v>
      </c>
      <c r="AW169" s="225">
        <f t="shared" si="154"/>
        <v>3.2292646929415123</v>
      </c>
    </row>
    <row r="170" spans="1:49">
      <c r="A170" s="166">
        <f>'Input data'!A128</f>
        <v>2028</v>
      </c>
      <c r="B170" s="177">
        <f>'Input data'!B128</f>
        <v>64.676158618096451</v>
      </c>
      <c r="C170" s="100">
        <f>'Recycling - Case 2'!E108</f>
        <v>0.9561230769230773</v>
      </c>
      <c r="D170" s="471">
        <f>'Recycling - Case 2'!F108</f>
        <v>0.35530384615384603</v>
      </c>
      <c r="E170" s="203">
        <f t="shared" si="155"/>
        <v>1006652879.2633451</v>
      </c>
      <c r="F170" s="204">
        <v>0</v>
      </c>
      <c r="G170" s="205">
        <f t="shared" si="132"/>
        <v>1006652879.2633451</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20977097.307110783</v>
      </c>
      <c r="AA170" s="204">
        <f t="shared" si="134"/>
        <v>0</v>
      </c>
      <c r="AB170" s="204">
        <f t="shared" si="135"/>
        <v>20977097.307110783</v>
      </c>
      <c r="AC170" s="204">
        <f t="shared" si="136"/>
        <v>11747174.491982045</v>
      </c>
      <c r="AD170" s="204">
        <f t="shared" si="137"/>
        <v>1678167.7845688628</v>
      </c>
      <c r="AE170" s="204">
        <f t="shared" si="138"/>
        <v>0</v>
      </c>
      <c r="AF170" s="839">
        <f t="shared" si="139"/>
        <v>55379536.890772469</v>
      </c>
      <c r="AG170" s="203">
        <f t="shared" si="140"/>
        <v>0</v>
      </c>
      <c r="AH170" s="204">
        <f t="shared" si="141"/>
        <v>0</v>
      </c>
      <c r="AI170" s="204">
        <f t="shared" si="142"/>
        <v>5435925.5480220634</v>
      </c>
      <c r="AJ170" s="204">
        <f t="shared" si="143"/>
        <v>1087185.1096044125</v>
      </c>
      <c r="AK170" s="204">
        <f t="shared" si="144"/>
        <v>0</v>
      </c>
      <c r="AL170" s="204">
        <f t="shared" si="145"/>
        <v>0</v>
      </c>
      <c r="AM170" s="210">
        <f t="shared" si="146"/>
        <v>6523110.6576264761</v>
      </c>
      <c r="AN170" s="203">
        <f t="shared" si="147"/>
        <v>60955542.058685884</v>
      </c>
      <c r="AO170" s="204">
        <f t="shared" si="148"/>
        <v>0</v>
      </c>
      <c r="AP170" s="204">
        <f t="shared" si="149"/>
        <v>30477771.029342942</v>
      </c>
      <c r="AQ170" s="204">
        <f t="shared" si="150"/>
        <v>43027441.453190044</v>
      </c>
      <c r="AR170" s="204">
        <f t="shared" si="151"/>
        <v>1792810.0605495835</v>
      </c>
      <c r="AS170" s="204">
        <f t="shared" si="152"/>
        <v>0</v>
      </c>
      <c r="AT170" s="210">
        <f t="shared" si="153"/>
        <v>136253564.60176846</v>
      </c>
      <c r="AU170" s="222">
        <v>0</v>
      </c>
      <c r="AV170" s="214">
        <f t="shared" si="167"/>
        <v>198.15621215016739</v>
      </c>
      <c r="AW170" s="225">
        <f t="shared" si="154"/>
        <v>3.2610614797895683</v>
      </c>
    </row>
    <row r="171" spans="1:49">
      <c r="A171" s="166">
        <f>'Input data'!A129</f>
        <v>2029</v>
      </c>
      <c r="B171" s="177">
        <f>'Input data'!B129</f>
        <v>65.31298905018393</v>
      </c>
      <c r="C171" s="100">
        <f>'Recycling - Case 2'!E109</f>
        <v>0.97806153846153887</v>
      </c>
      <c r="D171" s="471">
        <f>'Recycling - Case 2'!F109</f>
        <v>0.36127692307692294</v>
      </c>
      <c r="E171" s="203">
        <f t="shared" si="155"/>
        <v>1016564834.483951</v>
      </c>
      <c r="F171" s="204">
        <v>0</v>
      </c>
      <c r="G171" s="205">
        <f t="shared" si="132"/>
        <v>1016564834.483951</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22028177.990317609</v>
      </c>
      <c r="AA171" s="204">
        <f t="shared" si="134"/>
        <v>0</v>
      </c>
      <c r="AB171" s="204">
        <f t="shared" si="135"/>
        <v>22028177.990317609</v>
      </c>
      <c r="AC171" s="204">
        <f t="shared" si="136"/>
        <v>12335779.674577871</v>
      </c>
      <c r="AD171" s="204">
        <f t="shared" si="137"/>
        <v>1762254.2392254095</v>
      </c>
      <c r="AE171" s="204">
        <f t="shared" si="138"/>
        <v>0</v>
      </c>
      <c r="AF171" s="839">
        <f t="shared" si="139"/>
        <v>58154389.894438498</v>
      </c>
      <c r="AG171" s="203">
        <f t="shared" si="140"/>
        <v>0</v>
      </c>
      <c r="AH171" s="204">
        <f t="shared" si="141"/>
        <v>0</v>
      </c>
      <c r="AI171" s="204">
        <f t="shared" si="142"/>
        <v>5489450.1062133349</v>
      </c>
      <c r="AJ171" s="204">
        <f t="shared" si="143"/>
        <v>1097890.021242667</v>
      </c>
      <c r="AK171" s="204">
        <f t="shared" si="144"/>
        <v>0</v>
      </c>
      <c r="AL171" s="204">
        <f t="shared" si="145"/>
        <v>0</v>
      </c>
      <c r="AM171" s="210">
        <f t="shared" si="146"/>
        <v>6587340.1274560019</v>
      </c>
      <c r="AN171" s="203">
        <f t="shared" si="147"/>
        <v>62532812.83385586</v>
      </c>
      <c r="AO171" s="204">
        <f t="shared" si="148"/>
        <v>0</v>
      </c>
      <c r="AP171" s="204">
        <f t="shared" si="149"/>
        <v>31266406.41692793</v>
      </c>
      <c r="AQ171" s="204">
        <f t="shared" si="150"/>
        <v>44140809.059192374</v>
      </c>
      <c r="AR171" s="204">
        <f t="shared" si="151"/>
        <v>1839200.3774663471</v>
      </c>
      <c r="AS171" s="204">
        <f t="shared" si="152"/>
        <v>0</v>
      </c>
      <c r="AT171" s="210">
        <f t="shared" si="153"/>
        <v>139779228.68744251</v>
      </c>
      <c r="AU171" s="222">
        <v>0</v>
      </c>
      <c r="AV171" s="214">
        <f t="shared" si="167"/>
        <v>204.52095870933701</v>
      </c>
      <c r="AW171" s="225">
        <f t="shared" si="154"/>
        <v>3.2931713520456056</v>
      </c>
    </row>
    <row r="172" spans="1:49" s="1" customFormat="1">
      <c r="A172" s="108">
        <f>'Input data'!A130</f>
        <v>2030</v>
      </c>
      <c r="B172" s="177">
        <f>'Input data'!B130</f>
        <v>65.956090000000003</v>
      </c>
      <c r="C172" s="100">
        <f>'Recycling - Case 2'!E110</f>
        <v>1</v>
      </c>
      <c r="D172" s="471">
        <f>'Recycling - Case 2'!F110</f>
        <v>0.36725000000000002</v>
      </c>
      <c r="E172" s="685">
        <f t="shared" si="155"/>
        <v>1026574387.2561252</v>
      </c>
      <c r="F172" s="472">
        <v>0</v>
      </c>
      <c r="G172" s="592">
        <f t="shared" si="132"/>
        <v>1026574387.2561252</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23097923.713262819</v>
      </c>
      <c r="AA172" s="472">
        <f t="shared" si="134"/>
        <v>0</v>
      </c>
      <c r="AB172" s="472">
        <f t="shared" si="135"/>
        <v>23097923.713262819</v>
      </c>
      <c r="AC172" s="472">
        <f t="shared" si="136"/>
        <v>12934837.279427182</v>
      </c>
      <c r="AD172" s="472">
        <f t="shared" si="137"/>
        <v>1847833.8970610255</v>
      </c>
      <c r="AE172" s="472">
        <f t="shared" si="138"/>
        <v>0</v>
      </c>
      <c r="AF172" s="849">
        <f t="shared" si="139"/>
        <v>60978518.603013851</v>
      </c>
      <c r="AG172" s="685">
        <f t="shared" si="140"/>
        <v>0</v>
      </c>
      <c r="AH172" s="472">
        <f t="shared" si="141"/>
        <v>0</v>
      </c>
      <c r="AI172" s="472">
        <f t="shared" si="142"/>
        <v>5543501.6911830753</v>
      </c>
      <c r="AJ172" s="472">
        <f t="shared" si="143"/>
        <v>1108700.3382366151</v>
      </c>
      <c r="AK172" s="472">
        <f t="shared" si="144"/>
        <v>0</v>
      </c>
      <c r="AL172" s="472">
        <f t="shared" si="145"/>
        <v>0</v>
      </c>
      <c r="AM172" s="687">
        <f t="shared" si="146"/>
        <v>6652202.0294196904</v>
      </c>
      <c r="AN172" s="685">
        <f t="shared" si="147"/>
        <v>64135234.843826428</v>
      </c>
      <c r="AO172" s="472">
        <f t="shared" si="148"/>
        <v>0</v>
      </c>
      <c r="AP172" s="472">
        <f t="shared" si="149"/>
        <v>32067617.421913214</v>
      </c>
      <c r="AQ172" s="472">
        <f t="shared" si="150"/>
        <v>45271930.47799512</v>
      </c>
      <c r="AR172" s="472">
        <f t="shared" si="151"/>
        <v>1886330.4365831299</v>
      </c>
      <c r="AS172" s="472">
        <f t="shared" si="152"/>
        <v>0</v>
      </c>
      <c r="AT172" s="687">
        <f t="shared" si="153"/>
        <v>143361113.18031791</v>
      </c>
      <c r="AU172" s="222">
        <v>0</v>
      </c>
      <c r="AV172" s="214">
        <f t="shared" si="167"/>
        <v>210.99183381275145</v>
      </c>
      <c r="AW172" s="225">
        <f t="shared" si="154"/>
        <v>3.3255973924888065</v>
      </c>
    </row>
    <row r="173" spans="1:49">
      <c r="A173" s="166">
        <f>'Input data'!A131</f>
        <v>2031</v>
      </c>
      <c r="B173" s="177">
        <f>'Input data'!B131</f>
        <v>66.518977190687664</v>
      </c>
      <c r="C173" s="100">
        <f>'Recycling - Case 2'!E111</f>
        <v>1</v>
      </c>
      <c r="D173" s="471">
        <f>'Recycling - Case 2'!F111</f>
        <v>0.36725000000000002</v>
      </c>
      <c r="E173" s="203">
        <f t="shared" si="155"/>
        <v>1035335451.9716731</v>
      </c>
      <c r="F173" s="204">
        <v>0</v>
      </c>
      <c r="G173" s="205">
        <f t="shared" si="132"/>
        <v>1035335451.9716731</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23295047.669362649</v>
      </c>
      <c r="AA173" s="204">
        <f t="shared" si="134"/>
        <v>0</v>
      </c>
      <c r="AB173" s="204">
        <f t="shared" si="135"/>
        <v>23295047.669362649</v>
      </c>
      <c r="AC173" s="204">
        <f t="shared" si="136"/>
        <v>13045226.694843085</v>
      </c>
      <c r="AD173" s="204">
        <f t="shared" si="137"/>
        <v>1863603.8135490119</v>
      </c>
      <c r="AE173" s="204">
        <f t="shared" si="138"/>
        <v>0</v>
      </c>
      <c r="AF173" s="839">
        <f t="shared" si="139"/>
        <v>61498925.847117394</v>
      </c>
      <c r="AG173" s="203">
        <f t="shared" si="140"/>
        <v>0</v>
      </c>
      <c r="AH173" s="204">
        <f t="shared" si="141"/>
        <v>0</v>
      </c>
      <c r="AI173" s="204">
        <f t="shared" si="142"/>
        <v>5590811.4406470349</v>
      </c>
      <c r="AJ173" s="204">
        <f t="shared" si="143"/>
        <v>1118162.288129407</v>
      </c>
      <c r="AK173" s="204">
        <f t="shared" si="144"/>
        <v>0</v>
      </c>
      <c r="AL173" s="204">
        <f t="shared" si="145"/>
        <v>0</v>
      </c>
      <c r="AM173" s="210">
        <f t="shared" si="146"/>
        <v>6708973.7287764419</v>
      </c>
      <c r="AN173" s="203">
        <f t="shared" si="147"/>
        <v>64682582.361930281</v>
      </c>
      <c r="AO173" s="204">
        <f t="shared" si="148"/>
        <v>0</v>
      </c>
      <c r="AP173" s="204">
        <f t="shared" si="149"/>
        <v>32341291.18096514</v>
      </c>
      <c r="AQ173" s="204">
        <f t="shared" si="150"/>
        <v>45658293.431950785</v>
      </c>
      <c r="AR173" s="204">
        <f t="shared" si="151"/>
        <v>1902428.8929979494</v>
      </c>
      <c r="AS173" s="204">
        <f t="shared" si="152"/>
        <v>0</v>
      </c>
      <c r="AT173" s="210">
        <f t="shared" si="153"/>
        <v>144584595.86784416</v>
      </c>
      <c r="AU173" s="222">
        <v>0</v>
      </c>
      <c r="AV173" s="214">
        <f t="shared" si="167"/>
        <v>212.79249544373798</v>
      </c>
      <c r="AW173" s="225">
        <f t="shared" si="154"/>
        <v>3.3539789441183268</v>
      </c>
    </row>
    <row r="174" spans="1:49">
      <c r="A174" s="166">
        <f>'Input data'!A132</f>
        <v>2032</v>
      </c>
      <c r="B174" s="177">
        <f>'Input data'!B132</f>
        <v>67.08666821358311</v>
      </c>
      <c r="C174" s="100">
        <f>'Recycling - Case 2'!E112</f>
        <v>1</v>
      </c>
      <c r="D174" s="471">
        <f>'Recycling - Case 2'!F112</f>
        <v>0.36725000000000002</v>
      </c>
      <c r="E174" s="203">
        <f t="shared" si="155"/>
        <v>1044171285.9936672</v>
      </c>
      <c r="F174" s="204">
        <v>0</v>
      </c>
      <c r="G174" s="205">
        <f t="shared" si="132"/>
        <v>1044171285.9936672</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23493853.934857517</v>
      </c>
      <c r="AA174" s="204">
        <f t="shared" si="134"/>
        <v>0</v>
      </c>
      <c r="AB174" s="204">
        <f t="shared" si="135"/>
        <v>23493853.934857517</v>
      </c>
      <c r="AC174" s="204">
        <f t="shared" si="136"/>
        <v>13156558.20352021</v>
      </c>
      <c r="AD174" s="204">
        <f t="shared" si="137"/>
        <v>1879508.3147886014</v>
      </c>
      <c r="AE174" s="204">
        <f t="shared" si="138"/>
        <v>0</v>
      </c>
      <c r="AF174" s="839">
        <f t="shared" si="139"/>
        <v>62023774.388023846</v>
      </c>
      <c r="AG174" s="203">
        <f t="shared" si="140"/>
        <v>0</v>
      </c>
      <c r="AH174" s="204">
        <f t="shared" si="141"/>
        <v>0</v>
      </c>
      <c r="AI174" s="204">
        <f t="shared" si="142"/>
        <v>5638524.9443658032</v>
      </c>
      <c r="AJ174" s="204">
        <f t="shared" si="143"/>
        <v>1127704.9888731604</v>
      </c>
      <c r="AK174" s="204">
        <f t="shared" si="144"/>
        <v>0</v>
      </c>
      <c r="AL174" s="204">
        <f t="shared" si="145"/>
        <v>0</v>
      </c>
      <c r="AM174" s="210">
        <f t="shared" si="146"/>
        <v>6766229.9332389636</v>
      </c>
      <c r="AN174" s="203">
        <f t="shared" si="147"/>
        <v>65234601.092454359</v>
      </c>
      <c r="AO174" s="204">
        <f t="shared" si="148"/>
        <v>0</v>
      </c>
      <c r="AP174" s="204">
        <f t="shared" si="149"/>
        <v>32617300.546227179</v>
      </c>
      <c r="AQ174" s="204">
        <f t="shared" si="150"/>
        <v>46047953.712320723</v>
      </c>
      <c r="AR174" s="204">
        <f t="shared" si="151"/>
        <v>1918664.7380133634</v>
      </c>
      <c r="AS174" s="204">
        <f t="shared" si="152"/>
        <v>0</v>
      </c>
      <c r="AT174" s="210">
        <f t="shared" si="153"/>
        <v>145818520.0890156</v>
      </c>
      <c r="AU174" s="222">
        <v>0</v>
      </c>
      <c r="AV174" s="214">
        <f t="shared" si="167"/>
        <v>214.60852441027842</v>
      </c>
      <c r="AW174" s="225">
        <f t="shared" si="154"/>
        <v>3.3826027116200144</v>
      </c>
    </row>
    <row r="175" spans="1:49">
      <c r="A175" s="166">
        <f>'Input data'!A133</f>
        <v>2033</v>
      </c>
      <c r="B175" s="177">
        <f>'Input data'!B133</f>
        <v>67.659204065895452</v>
      </c>
      <c r="C175" s="100">
        <f>'Recycling - Case 2'!E113</f>
        <v>1</v>
      </c>
      <c r="D175" s="471">
        <f>'Recycling - Case 2'!F113</f>
        <v>0.36725000000000002</v>
      </c>
      <c r="E175" s="203">
        <f t="shared" si="155"/>
        <v>1053082527.4236807</v>
      </c>
      <c r="F175" s="204">
        <v>0</v>
      </c>
      <c r="G175" s="205">
        <f t="shared" si="132"/>
        <v>1053082527.4236807</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23694356.867032815</v>
      </c>
      <c r="AA175" s="204">
        <f t="shared" si="134"/>
        <v>0</v>
      </c>
      <c r="AB175" s="204">
        <f t="shared" si="135"/>
        <v>23694356.867032815</v>
      </c>
      <c r="AC175" s="204">
        <f t="shared" si="136"/>
        <v>13268839.84553838</v>
      </c>
      <c r="AD175" s="204">
        <f t="shared" si="137"/>
        <v>1895548.5493626255</v>
      </c>
      <c r="AE175" s="204">
        <f t="shared" si="138"/>
        <v>0</v>
      </c>
      <c r="AF175" s="839">
        <f t="shared" si="139"/>
        <v>62553102.12896663</v>
      </c>
      <c r="AG175" s="203">
        <f t="shared" si="140"/>
        <v>0</v>
      </c>
      <c r="AH175" s="204">
        <f t="shared" si="141"/>
        <v>0</v>
      </c>
      <c r="AI175" s="204">
        <f t="shared" si="142"/>
        <v>5686645.648087875</v>
      </c>
      <c r="AJ175" s="204">
        <f t="shared" si="143"/>
        <v>1137329.1296175751</v>
      </c>
      <c r="AK175" s="204">
        <f t="shared" si="144"/>
        <v>0</v>
      </c>
      <c r="AL175" s="204">
        <f t="shared" si="145"/>
        <v>0</v>
      </c>
      <c r="AM175" s="210">
        <f t="shared" si="146"/>
        <v>6823974.7777054496</v>
      </c>
      <c r="AN175" s="203">
        <f t="shared" si="147"/>
        <v>65791330.900794454</v>
      </c>
      <c r="AO175" s="204">
        <f t="shared" si="148"/>
        <v>0</v>
      </c>
      <c r="AP175" s="204">
        <f t="shared" si="149"/>
        <v>32895665.450397227</v>
      </c>
      <c r="AQ175" s="204">
        <f t="shared" si="150"/>
        <v>46440939.459384315</v>
      </c>
      <c r="AR175" s="204">
        <f t="shared" si="151"/>
        <v>1935039.144141013</v>
      </c>
      <c r="AS175" s="204">
        <f t="shared" si="152"/>
        <v>0</v>
      </c>
      <c r="AT175" s="210">
        <f t="shared" si="153"/>
        <v>147062974.95471701</v>
      </c>
      <c r="AU175" s="222">
        <v>0</v>
      </c>
      <c r="AV175" s="214">
        <f t="shared" si="167"/>
        <v>216.44005186138909</v>
      </c>
      <c r="AW175" s="225">
        <f t="shared" si="154"/>
        <v>3.4114707621299263</v>
      </c>
    </row>
    <row r="176" spans="1:49">
      <c r="A176" s="166">
        <f>'Input data'!A134</f>
        <v>2034</v>
      </c>
      <c r="B176" s="177">
        <f>'Input data'!B134</f>
        <v>68.236626094715163</v>
      </c>
      <c r="C176" s="100">
        <f>'Recycling - Case 2'!E114</f>
        <v>1</v>
      </c>
      <c r="D176" s="471">
        <f>'Recycling - Case 2'!F114</f>
        <v>0.36725000000000002</v>
      </c>
      <c r="E176" s="203">
        <f t="shared" si="155"/>
        <v>1062069819.8090204</v>
      </c>
      <c r="F176" s="204">
        <v>0</v>
      </c>
      <c r="G176" s="205">
        <f t="shared" si="132"/>
        <v>1062069819.8090204</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23896570.945702963</v>
      </c>
      <c r="AA176" s="204">
        <f t="shared" si="134"/>
        <v>0</v>
      </c>
      <c r="AB176" s="204">
        <f t="shared" si="135"/>
        <v>23896570.945702963</v>
      </c>
      <c r="AC176" s="204">
        <f t="shared" si="136"/>
        <v>13382079.729593663</v>
      </c>
      <c r="AD176" s="204">
        <f t="shared" si="137"/>
        <v>1911725.6756562369</v>
      </c>
      <c r="AE176" s="204">
        <f t="shared" si="138"/>
        <v>0</v>
      </c>
      <c r="AF176" s="839">
        <f t="shared" si="139"/>
        <v>63086947.296655826</v>
      </c>
      <c r="AG176" s="203">
        <f t="shared" si="140"/>
        <v>0</v>
      </c>
      <c r="AH176" s="204">
        <f t="shared" si="141"/>
        <v>0</v>
      </c>
      <c r="AI176" s="204">
        <f t="shared" si="142"/>
        <v>5735177.0269687101</v>
      </c>
      <c r="AJ176" s="204">
        <f t="shared" si="143"/>
        <v>1147035.405393742</v>
      </c>
      <c r="AK176" s="204">
        <f t="shared" si="144"/>
        <v>0</v>
      </c>
      <c r="AL176" s="204">
        <f t="shared" si="145"/>
        <v>0</v>
      </c>
      <c r="AM176" s="210">
        <f t="shared" si="146"/>
        <v>6882212.4323624521</v>
      </c>
      <c r="AN176" s="203">
        <f t="shared" si="147"/>
        <v>66352811.992568552</v>
      </c>
      <c r="AO176" s="204">
        <f t="shared" si="148"/>
        <v>0</v>
      </c>
      <c r="AP176" s="204">
        <f t="shared" si="149"/>
        <v>33176405.996284276</v>
      </c>
      <c r="AQ176" s="204">
        <f t="shared" si="150"/>
        <v>46837279.053577796</v>
      </c>
      <c r="AR176" s="204">
        <f t="shared" si="151"/>
        <v>1951553.2938990749</v>
      </c>
      <c r="AS176" s="204">
        <f t="shared" si="152"/>
        <v>0</v>
      </c>
      <c r="AT176" s="210">
        <f t="shared" si="153"/>
        <v>148318050.33632973</v>
      </c>
      <c r="AU176" s="222">
        <v>0</v>
      </c>
      <c r="AV176" s="214">
        <f t="shared" si="167"/>
        <v>218.28721006534801</v>
      </c>
      <c r="AW176" s="225">
        <f t="shared" si="154"/>
        <v>3.4405851804256198</v>
      </c>
    </row>
    <row r="177" spans="1:49">
      <c r="A177" s="166">
        <f>'Input data'!A135</f>
        <v>2035</v>
      </c>
      <c r="B177" s="177">
        <f>'Input data'!B135</f>
        <v>68.818976000000006</v>
      </c>
      <c r="C177" s="100">
        <f>'Recycling - Case 2'!E115</f>
        <v>1</v>
      </c>
      <c r="D177" s="471">
        <f>'Recycling - Case 2'!F115</f>
        <v>0.36725000000000002</v>
      </c>
      <c r="E177" s="203">
        <f t="shared" si="155"/>
        <v>1071133812.1892002</v>
      </c>
      <c r="F177" s="204">
        <v>0</v>
      </c>
      <c r="G177" s="205">
        <f t="shared" si="132"/>
        <v>1071133812.1892002</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24100510.774257008</v>
      </c>
      <c r="AA177" s="204">
        <f t="shared" si="134"/>
        <v>0</v>
      </c>
      <c r="AB177" s="204">
        <f t="shared" si="135"/>
        <v>24100510.774257008</v>
      </c>
      <c r="AC177" s="204">
        <f t="shared" si="136"/>
        <v>13496286.033583926</v>
      </c>
      <c r="AD177" s="204">
        <f t="shared" si="137"/>
        <v>1928040.8619405604</v>
      </c>
      <c r="AE177" s="204">
        <f t="shared" si="138"/>
        <v>0</v>
      </c>
      <c r="AF177" s="839">
        <f t="shared" si="139"/>
        <v>63625348.444038503</v>
      </c>
      <c r="AG177" s="203">
        <f t="shared" si="140"/>
        <v>0</v>
      </c>
      <c r="AH177" s="204">
        <f t="shared" si="141"/>
        <v>0</v>
      </c>
      <c r="AI177" s="204">
        <f t="shared" si="142"/>
        <v>5784122.5858216807</v>
      </c>
      <c r="AJ177" s="204">
        <f t="shared" si="143"/>
        <v>1156824.5171643361</v>
      </c>
      <c r="AK177" s="204">
        <f t="shared" si="144"/>
        <v>0</v>
      </c>
      <c r="AL177" s="204">
        <f t="shared" si="145"/>
        <v>0</v>
      </c>
      <c r="AM177" s="210">
        <f t="shared" si="146"/>
        <v>6940947.1029860172</v>
      </c>
      <c r="AN177" s="203">
        <f t="shared" si="147"/>
        <v>66919084.916520275</v>
      </c>
      <c r="AO177" s="204">
        <f t="shared" si="148"/>
        <v>0</v>
      </c>
      <c r="AP177" s="204">
        <f t="shared" si="149"/>
        <v>33459542.458260138</v>
      </c>
      <c r="AQ177" s="204">
        <f t="shared" si="150"/>
        <v>47237001.117543727</v>
      </c>
      <c r="AR177" s="204">
        <f t="shared" si="151"/>
        <v>1968208.3798976552</v>
      </c>
      <c r="AS177" s="204">
        <f t="shared" si="152"/>
        <v>0</v>
      </c>
      <c r="AT177" s="210">
        <f t="shared" si="153"/>
        <v>149583836.8722218</v>
      </c>
      <c r="AU177" s="222">
        <v>0</v>
      </c>
      <c r="AV177" s="214">
        <f t="shared" si="167"/>
        <v>220.15013241924632</v>
      </c>
      <c r="AW177" s="225">
        <f t="shared" si="154"/>
        <v>3.4699480690767106</v>
      </c>
    </row>
    <row r="178" spans="1:49">
      <c r="A178" s="166">
        <f>'Input data'!A136</f>
        <v>2036</v>
      </c>
      <c r="B178" s="177">
        <f>'Input data'!B136</f>
        <v>69.322810489383542</v>
      </c>
      <c r="C178" s="100">
        <f>'Recycling - Case 2'!E116</f>
        <v>1</v>
      </c>
      <c r="D178" s="471">
        <f>'Recycling - Case 2'!F116</f>
        <v>0.36725000000000002</v>
      </c>
      <c r="E178" s="203">
        <f t="shared" si="155"/>
        <v>1078975750.3971415</v>
      </c>
      <c r="F178" s="204">
        <v>0</v>
      </c>
      <c r="G178" s="205">
        <f t="shared" si="132"/>
        <v>1078975750.3971415</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24276954.383935686</v>
      </c>
      <c r="AA178" s="204">
        <f t="shared" si="134"/>
        <v>0</v>
      </c>
      <c r="AB178" s="204">
        <f t="shared" si="135"/>
        <v>24276954.383935686</v>
      </c>
      <c r="AC178" s="204">
        <f t="shared" si="136"/>
        <v>13595094.455003986</v>
      </c>
      <c r="AD178" s="204">
        <f t="shared" si="137"/>
        <v>1942156.3507148549</v>
      </c>
      <c r="AE178" s="204">
        <f t="shared" si="138"/>
        <v>0</v>
      </c>
      <c r="AF178" s="839">
        <f t="shared" si="139"/>
        <v>64091159.573590212</v>
      </c>
      <c r="AG178" s="203">
        <f t="shared" si="140"/>
        <v>0</v>
      </c>
      <c r="AH178" s="204">
        <f t="shared" si="141"/>
        <v>0</v>
      </c>
      <c r="AI178" s="204">
        <f t="shared" si="142"/>
        <v>5826469.0521445638</v>
      </c>
      <c r="AJ178" s="204">
        <f t="shared" si="143"/>
        <v>1165293.8104289128</v>
      </c>
      <c r="AK178" s="204">
        <f t="shared" si="144"/>
        <v>0</v>
      </c>
      <c r="AL178" s="204">
        <f t="shared" si="145"/>
        <v>0</v>
      </c>
      <c r="AM178" s="210">
        <f t="shared" si="146"/>
        <v>6991762.8625734765</v>
      </c>
      <c r="AN178" s="203">
        <f t="shared" si="147"/>
        <v>67409010.00606142</v>
      </c>
      <c r="AO178" s="204">
        <f t="shared" si="148"/>
        <v>0</v>
      </c>
      <c r="AP178" s="204">
        <f t="shared" si="149"/>
        <v>33704505.00303071</v>
      </c>
      <c r="AQ178" s="204">
        <f t="shared" si="150"/>
        <v>47582830.592513934</v>
      </c>
      <c r="AR178" s="204">
        <f t="shared" si="151"/>
        <v>1982617.9413547474</v>
      </c>
      <c r="AS178" s="204">
        <f t="shared" si="152"/>
        <v>0</v>
      </c>
      <c r="AT178" s="210">
        <f t="shared" si="153"/>
        <v>150678963.54296082</v>
      </c>
      <c r="AU178" s="222">
        <v>0</v>
      </c>
      <c r="AV178" s="214">
        <f t="shared" si="167"/>
        <v>221.76188597912451</v>
      </c>
      <c r="AW178" s="225">
        <f t="shared" si="154"/>
        <v>3.4953521017314642</v>
      </c>
    </row>
    <row r="179" spans="1:49">
      <c r="A179" s="166">
        <f>'Input data'!A137</f>
        <v>2037</v>
      </c>
      <c r="B179" s="177">
        <f>'Input data'!B137</f>
        <v>69.830333629884052</v>
      </c>
      <c r="C179" s="100">
        <f>'Recycling - Case 2'!E117</f>
        <v>1</v>
      </c>
      <c r="D179" s="471">
        <f>'Recycling - Case 2'!F117</f>
        <v>0.36725000000000002</v>
      </c>
      <c r="E179" s="203">
        <f t="shared" si="155"/>
        <v>1086875100.6615009</v>
      </c>
      <c r="F179" s="204">
        <v>0</v>
      </c>
      <c r="G179" s="205">
        <f t="shared" si="132"/>
        <v>1086875100.6615009</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24454689.764883772</v>
      </c>
      <c r="AA179" s="204">
        <f t="shared" si="134"/>
        <v>0</v>
      </c>
      <c r="AB179" s="204">
        <f t="shared" si="135"/>
        <v>24454689.764883772</v>
      </c>
      <c r="AC179" s="204">
        <f t="shared" si="136"/>
        <v>13694626.268334916</v>
      </c>
      <c r="AD179" s="204">
        <f t="shared" si="137"/>
        <v>1956375.1811907019</v>
      </c>
      <c r="AE179" s="204">
        <f t="shared" si="138"/>
        <v>0</v>
      </c>
      <c r="AF179" s="839">
        <f t="shared" si="139"/>
        <v>64560380.97929316</v>
      </c>
      <c r="AG179" s="203">
        <f t="shared" si="140"/>
        <v>0</v>
      </c>
      <c r="AH179" s="204">
        <f t="shared" si="141"/>
        <v>0</v>
      </c>
      <c r="AI179" s="204">
        <f t="shared" si="142"/>
        <v>5869125.5435721045</v>
      </c>
      <c r="AJ179" s="204">
        <f t="shared" si="143"/>
        <v>1173825.1087144208</v>
      </c>
      <c r="AK179" s="204">
        <f t="shared" si="144"/>
        <v>0</v>
      </c>
      <c r="AL179" s="204">
        <f t="shared" si="145"/>
        <v>0</v>
      </c>
      <c r="AM179" s="210">
        <f t="shared" si="146"/>
        <v>7042950.6522865258</v>
      </c>
      <c r="AN179" s="203">
        <f t="shared" si="147"/>
        <v>67902521.91382727</v>
      </c>
      <c r="AO179" s="204">
        <f t="shared" si="148"/>
        <v>0</v>
      </c>
      <c r="AP179" s="204">
        <f t="shared" si="149"/>
        <v>33951260.956913635</v>
      </c>
      <c r="AQ179" s="204">
        <f t="shared" si="150"/>
        <v>47931191.939172193</v>
      </c>
      <c r="AR179" s="204">
        <f t="shared" si="151"/>
        <v>1997132.9974655078</v>
      </c>
      <c r="AS179" s="204">
        <f t="shared" si="152"/>
        <v>0</v>
      </c>
      <c r="AT179" s="210">
        <f t="shared" si="153"/>
        <v>151782107.80737862</v>
      </c>
      <c r="AU179" s="222">
        <v>0</v>
      </c>
      <c r="AV179" s="214">
        <f t="shared" si="167"/>
        <v>223.38543943895829</v>
      </c>
      <c r="AW179" s="225">
        <f t="shared" si="154"/>
        <v>3.5209421212835057</v>
      </c>
    </row>
    <row r="180" spans="1:49">
      <c r="A180" s="166">
        <f>'Input data'!A138</f>
        <v>2038</v>
      </c>
      <c r="B180" s="177">
        <f>'Input data'!B138</f>
        <v>70.341572426693446</v>
      </c>
      <c r="C180" s="100">
        <f>'Recycling - Case 2'!E118</f>
        <v>1</v>
      </c>
      <c r="D180" s="471">
        <f>'Recycling - Case 2'!F118</f>
        <v>0.36725000000000002</v>
      </c>
      <c r="E180" s="203">
        <f t="shared" si="155"/>
        <v>1094832283.3049257</v>
      </c>
      <c r="F180" s="204">
        <v>0</v>
      </c>
      <c r="G180" s="205">
        <f t="shared" si="132"/>
        <v>1094832283.3049257</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24633726.37436083</v>
      </c>
      <c r="AA180" s="204">
        <f t="shared" si="134"/>
        <v>0</v>
      </c>
      <c r="AB180" s="204">
        <f t="shared" si="135"/>
        <v>24633726.37436083</v>
      </c>
      <c r="AC180" s="204">
        <f t="shared" si="136"/>
        <v>13794886.769642066</v>
      </c>
      <c r="AD180" s="204">
        <f t="shared" si="137"/>
        <v>1970698.1099488665</v>
      </c>
      <c r="AE180" s="204">
        <f t="shared" si="138"/>
        <v>0</v>
      </c>
      <c r="AF180" s="839">
        <f t="shared" si="139"/>
        <v>65033037.628312595</v>
      </c>
      <c r="AG180" s="203">
        <f t="shared" si="140"/>
        <v>0</v>
      </c>
      <c r="AH180" s="204">
        <f t="shared" si="141"/>
        <v>0</v>
      </c>
      <c r="AI180" s="204">
        <f t="shared" si="142"/>
        <v>5912094.3298465982</v>
      </c>
      <c r="AJ180" s="204">
        <f t="shared" si="143"/>
        <v>1182418.8659693196</v>
      </c>
      <c r="AK180" s="204">
        <f t="shared" si="144"/>
        <v>0</v>
      </c>
      <c r="AL180" s="204">
        <f t="shared" si="145"/>
        <v>0</v>
      </c>
      <c r="AM180" s="210">
        <f t="shared" si="146"/>
        <v>7094513.195815918</v>
      </c>
      <c r="AN180" s="203">
        <f t="shared" si="147"/>
        <v>68399646.899475232</v>
      </c>
      <c r="AO180" s="204">
        <f t="shared" si="148"/>
        <v>0</v>
      </c>
      <c r="AP180" s="204">
        <f t="shared" si="149"/>
        <v>34199823.449737616</v>
      </c>
      <c r="AQ180" s="204">
        <f t="shared" si="150"/>
        <v>48282103.693747215</v>
      </c>
      <c r="AR180" s="204">
        <f t="shared" si="151"/>
        <v>2011754.3205728009</v>
      </c>
      <c r="AS180" s="204">
        <f t="shared" si="152"/>
        <v>0</v>
      </c>
      <c r="AT180" s="210">
        <f t="shared" si="153"/>
        <v>152893328.36353287</v>
      </c>
      <c r="AU180" s="222">
        <v>0</v>
      </c>
      <c r="AV180" s="214">
        <f t="shared" si="167"/>
        <v>225.02087918766139</v>
      </c>
      <c r="AW180" s="225">
        <f t="shared" si="154"/>
        <v>3.5467194893720086</v>
      </c>
    </row>
    <row r="181" spans="1:49">
      <c r="A181" s="166">
        <f>'Input data'!A139</f>
        <v>2039</v>
      </c>
      <c r="B181" s="177">
        <f>'Input data'!B139</f>
        <v>70.856554082712819</v>
      </c>
      <c r="C181" s="100">
        <f>'Recycling - Case 2'!E119</f>
        <v>1</v>
      </c>
      <c r="D181" s="471">
        <f>'Recycling - Case 2'!F119</f>
        <v>0.36725000000000002</v>
      </c>
      <c r="E181" s="203">
        <f t="shared" si="155"/>
        <v>1102847721.7273097</v>
      </c>
      <c r="F181" s="204">
        <v>0</v>
      </c>
      <c r="G181" s="205">
        <f t="shared" si="132"/>
        <v>1102847721.7273097</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24814073.73886447</v>
      </c>
      <c r="AA181" s="204">
        <f t="shared" si="134"/>
        <v>0</v>
      </c>
      <c r="AB181" s="204">
        <f t="shared" si="135"/>
        <v>24814073.73886447</v>
      </c>
      <c r="AC181" s="204">
        <f t="shared" si="136"/>
        <v>13895881.293764105</v>
      </c>
      <c r="AD181" s="204">
        <f t="shared" si="137"/>
        <v>1985125.8991091577</v>
      </c>
      <c r="AE181" s="204">
        <f t="shared" si="138"/>
        <v>0</v>
      </c>
      <c r="AF181" s="839">
        <f t="shared" si="139"/>
        <v>65509154.670602202</v>
      </c>
      <c r="AG181" s="203">
        <f t="shared" si="140"/>
        <v>0</v>
      </c>
      <c r="AH181" s="204">
        <f t="shared" si="141"/>
        <v>0</v>
      </c>
      <c r="AI181" s="204">
        <f t="shared" si="142"/>
        <v>5955377.6973274713</v>
      </c>
      <c r="AJ181" s="204">
        <f t="shared" si="143"/>
        <v>1191075.5394654942</v>
      </c>
      <c r="AK181" s="204">
        <f t="shared" si="144"/>
        <v>0</v>
      </c>
      <c r="AL181" s="204">
        <f t="shared" si="145"/>
        <v>0</v>
      </c>
      <c r="AM181" s="210">
        <f t="shared" si="146"/>
        <v>7146453.2367929658</v>
      </c>
      <c r="AN181" s="203">
        <f t="shared" si="147"/>
        <v>68900411.414913669</v>
      </c>
      <c r="AO181" s="204">
        <f t="shared" si="148"/>
        <v>0</v>
      </c>
      <c r="AP181" s="204">
        <f t="shared" si="149"/>
        <v>34450205.707456835</v>
      </c>
      <c r="AQ181" s="204">
        <f t="shared" si="150"/>
        <v>48635584.528174356</v>
      </c>
      <c r="AR181" s="204">
        <f t="shared" si="151"/>
        <v>2026482.6886739314</v>
      </c>
      <c r="AS181" s="204">
        <f t="shared" si="152"/>
        <v>0</v>
      </c>
      <c r="AT181" s="210">
        <f t="shared" si="153"/>
        <v>154012684.33921883</v>
      </c>
      <c r="AU181" s="222">
        <v>0</v>
      </c>
      <c r="AV181" s="214">
        <f t="shared" si="167"/>
        <v>226.66829224661399</v>
      </c>
      <c r="AW181" s="225">
        <f t="shared" si="154"/>
        <v>3.5726855776049167</v>
      </c>
    </row>
    <row r="182" spans="1:49">
      <c r="A182" s="166">
        <f>'Input data'!A140</f>
        <v>2040</v>
      </c>
      <c r="B182" s="177">
        <f>'Input data'!B140</f>
        <v>71.375305999999995</v>
      </c>
      <c r="C182" s="100">
        <f>'Recycling - Case 2'!E120</f>
        <v>1</v>
      </c>
      <c r="D182" s="471">
        <f>'Recycling - Case 2'!F120</f>
        <v>0.36725000000000002</v>
      </c>
      <c r="E182" s="203">
        <f t="shared" si="155"/>
        <v>1110921842.4283249</v>
      </c>
      <c r="F182" s="204">
        <v>0</v>
      </c>
      <c r="G182" s="205">
        <f t="shared" si="132"/>
        <v>1110921842.4283249</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24995741.454637315</v>
      </c>
      <c r="AA182" s="204">
        <f t="shared" si="134"/>
        <v>0</v>
      </c>
      <c r="AB182" s="204">
        <f t="shared" si="135"/>
        <v>24995741.454637315</v>
      </c>
      <c r="AC182" s="204">
        <f t="shared" si="136"/>
        <v>13997615.214596899</v>
      </c>
      <c r="AD182" s="204">
        <f t="shared" si="137"/>
        <v>1999659.316370985</v>
      </c>
      <c r="AE182" s="204">
        <f t="shared" si="138"/>
        <v>0</v>
      </c>
      <c r="AF182" s="839">
        <f t="shared" si="139"/>
        <v>65988757.440242514</v>
      </c>
      <c r="AG182" s="203">
        <f t="shared" si="140"/>
        <v>0</v>
      </c>
      <c r="AH182" s="204">
        <f t="shared" si="141"/>
        <v>0</v>
      </c>
      <c r="AI182" s="204">
        <f t="shared" si="142"/>
        <v>5998977.9491129545</v>
      </c>
      <c r="AJ182" s="204">
        <f t="shared" si="143"/>
        <v>1199795.5898225908</v>
      </c>
      <c r="AK182" s="204">
        <f t="shared" si="144"/>
        <v>0</v>
      </c>
      <c r="AL182" s="204">
        <f t="shared" si="145"/>
        <v>0</v>
      </c>
      <c r="AM182" s="210">
        <f t="shared" si="146"/>
        <v>7198773.5389355458</v>
      </c>
      <c r="AN182" s="203">
        <f t="shared" si="147"/>
        <v>69404842.105709597</v>
      </c>
      <c r="AO182" s="204">
        <f t="shared" si="148"/>
        <v>0</v>
      </c>
      <c r="AP182" s="204">
        <f t="shared" si="149"/>
        <v>34702421.052854799</v>
      </c>
      <c r="AQ182" s="204">
        <f t="shared" si="150"/>
        <v>48991653.251089126</v>
      </c>
      <c r="AR182" s="204">
        <f t="shared" si="151"/>
        <v>2041318.8854620468</v>
      </c>
      <c r="AS182" s="204">
        <f t="shared" si="152"/>
        <v>0</v>
      </c>
      <c r="AT182" s="210">
        <f t="shared" si="153"/>
        <v>155140235.29511556</v>
      </c>
      <c r="AU182" s="222">
        <v>0</v>
      </c>
      <c r="AV182" s="214">
        <f t="shared" si="167"/>
        <v>228.32776627429359</v>
      </c>
      <c r="AW182" s="225">
        <f t="shared" si="154"/>
        <v>3.5988417676319293</v>
      </c>
    </row>
    <row r="183" spans="1:49">
      <c r="A183" s="166">
        <f>'Input data'!A141</f>
        <v>2041</v>
      </c>
      <c r="B183" s="177">
        <f>'Input data'!B141</f>
        <v>71.818612994947316</v>
      </c>
      <c r="C183" s="100">
        <f>'Recycling - Case 2'!E121</f>
        <v>1</v>
      </c>
      <c r="D183" s="471">
        <f>'Recycling - Case 2'!F121</f>
        <v>0.36725000000000002</v>
      </c>
      <c r="E183" s="203">
        <f t="shared" si="155"/>
        <v>1117821699.6925201</v>
      </c>
      <c r="F183" s="204">
        <v>0</v>
      </c>
      <c r="G183" s="205">
        <f t="shared" si="132"/>
        <v>1117821699.6925201</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25150988.243081704</v>
      </c>
      <c r="AA183" s="204">
        <f t="shared" si="134"/>
        <v>0</v>
      </c>
      <c r="AB183" s="204">
        <f t="shared" si="135"/>
        <v>25150988.243081704</v>
      </c>
      <c r="AC183" s="204">
        <f t="shared" si="136"/>
        <v>14084553.416125758</v>
      </c>
      <c r="AD183" s="204">
        <f t="shared" si="137"/>
        <v>2012079.0594465365</v>
      </c>
      <c r="AE183" s="204">
        <f t="shared" si="138"/>
        <v>0</v>
      </c>
      <c r="AF183" s="839">
        <f t="shared" si="139"/>
        <v>66398608.961735703</v>
      </c>
      <c r="AG183" s="203">
        <f t="shared" si="140"/>
        <v>0</v>
      </c>
      <c r="AH183" s="204">
        <f t="shared" si="141"/>
        <v>0</v>
      </c>
      <c r="AI183" s="204">
        <f t="shared" si="142"/>
        <v>6036237.1783396089</v>
      </c>
      <c r="AJ183" s="204">
        <f t="shared" si="143"/>
        <v>1207247.4356679216</v>
      </c>
      <c r="AK183" s="204">
        <f t="shared" si="144"/>
        <v>0</v>
      </c>
      <c r="AL183" s="204">
        <f t="shared" si="145"/>
        <v>0</v>
      </c>
      <c r="AM183" s="210">
        <f t="shared" si="146"/>
        <v>7243484.6140075307</v>
      </c>
      <c r="AN183" s="203">
        <f t="shared" si="147"/>
        <v>69835910.688290194</v>
      </c>
      <c r="AO183" s="204">
        <f t="shared" si="148"/>
        <v>0</v>
      </c>
      <c r="AP183" s="204">
        <f t="shared" si="149"/>
        <v>34917955.344145097</v>
      </c>
      <c r="AQ183" s="204">
        <f t="shared" si="150"/>
        <v>49295936.956440136</v>
      </c>
      <c r="AR183" s="204">
        <f t="shared" si="151"/>
        <v>2053997.3731850057</v>
      </c>
      <c r="AS183" s="204">
        <f t="shared" si="152"/>
        <v>0</v>
      </c>
      <c r="AT183" s="210">
        <f t="shared" si="153"/>
        <v>156103800.36206046</v>
      </c>
      <c r="AU183" s="222">
        <v>0</v>
      </c>
      <c r="AV183" s="214">
        <f t="shared" si="167"/>
        <v>229.74589393780369</v>
      </c>
      <c r="AW183" s="225">
        <f t="shared" si="154"/>
        <v>3.6211939201999317</v>
      </c>
    </row>
    <row r="184" spans="1:49">
      <c r="A184" s="166">
        <f>'Input data'!A142</f>
        <v>2042</v>
      </c>
      <c r="B184" s="177">
        <f>'Input data'!B142</f>
        <v>72.264673338395411</v>
      </c>
      <c r="C184" s="100">
        <f>'Recycling - Case 2'!E122</f>
        <v>1</v>
      </c>
      <c r="D184" s="471">
        <f>'Recycling - Case 2'!F122</f>
        <v>0.36725000000000002</v>
      </c>
      <c r="E184" s="203">
        <f t="shared" si="155"/>
        <v>1124764411.4838722</v>
      </c>
      <c r="F184" s="204">
        <v>0</v>
      </c>
      <c r="G184" s="205">
        <f t="shared" si="132"/>
        <v>1124764411.4838722</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25307199.258387126</v>
      </c>
      <c r="AA184" s="204">
        <f t="shared" si="134"/>
        <v>0</v>
      </c>
      <c r="AB184" s="204">
        <f t="shared" si="135"/>
        <v>25307199.258387126</v>
      </c>
      <c r="AC184" s="204">
        <f t="shared" si="136"/>
        <v>14172031.584696794</v>
      </c>
      <c r="AD184" s="204">
        <f t="shared" si="137"/>
        <v>2024575.9406709701</v>
      </c>
      <c r="AE184" s="204">
        <f t="shared" si="138"/>
        <v>0</v>
      </c>
      <c r="AF184" s="839">
        <f t="shared" si="139"/>
        <v>66811006.042142011</v>
      </c>
      <c r="AG184" s="203">
        <f t="shared" si="140"/>
        <v>0</v>
      </c>
      <c r="AH184" s="204">
        <f t="shared" si="141"/>
        <v>0</v>
      </c>
      <c r="AI184" s="204">
        <f t="shared" si="142"/>
        <v>6073727.8220129088</v>
      </c>
      <c r="AJ184" s="204">
        <f t="shared" si="143"/>
        <v>1214745.5644025819</v>
      </c>
      <c r="AK184" s="204">
        <f t="shared" si="144"/>
        <v>0</v>
      </c>
      <c r="AL184" s="204">
        <f t="shared" si="145"/>
        <v>0</v>
      </c>
      <c r="AM184" s="210">
        <f t="shared" si="146"/>
        <v>7288473.3864154909</v>
      </c>
      <c r="AN184" s="203">
        <f t="shared" si="147"/>
        <v>70269656.607454911</v>
      </c>
      <c r="AO184" s="204">
        <f t="shared" si="148"/>
        <v>0</v>
      </c>
      <c r="AP184" s="204">
        <f t="shared" si="149"/>
        <v>35134828.303727455</v>
      </c>
      <c r="AQ184" s="204">
        <f t="shared" si="150"/>
        <v>49602110.546438761</v>
      </c>
      <c r="AR184" s="204">
        <f t="shared" si="151"/>
        <v>2066754.6061016151</v>
      </c>
      <c r="AS184" s="204">
        <f t="shared" si="152"/>
        <v>0</v>
      </c>
      <c r="AT184" s="210">
        <f t="shared" si="153"/>
        <v>157073350.06372273</v>
      </c>
      <c r="AU184" s="222">
        <v>0</v>
      </c>
      <c r="AV184" s="214">
        <f t="shared" si="167"/>
        <v>231.17282949228024</v>
      </c>
      <c r="AW184" s="225">
        <f t="shared" si="154"/>
        <v>3.6436849004121257</v>
      </c>
    </row>
    <row r="185" spans="1:49">
      <c r="A185" s="166">
        <f>'Input data'!A143</f>
        <v>2043</v>
      </c>
      <c r="B185" s="177">
        <f>'Input data'!B143</f>
        <v>72.713504131197794</v>
      </c>
      <c r="C185" s="100">
        <f>'Recycling - Case 2'!E123</f>
        <v>1</v>
      </c>
      <c r="D185" s="471">
        <f>'Recycling - Case 2'!F123</f>
        <v>0.36725000000000002</v>
      </c>
      <c r="E185" s="203">
        <f t="shared" si="155"/>
        <v>1131750243.9688299</v>
      </c>
      <c r="F185" s="204">
        <v>0</v>
      </c>
      <c r="G185" s="205">
        <f t="shared" si="132"/>
        <v>1131750243.9688299</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25464380.489298675</v>
      </c>
      <c r="AA185" s="204">
        <f t="shared" si="134"/>
        <v>0</v>
      </c>
      <c r="AB185" s="204">
        <f t="shared" si="135"/>
        <v>25464380.489298675</v>
      </c>
      <c r="AC185" s="204">
        <f t="shared" si="136"/>
        <v>14260053.074007262</v>
      </c>
      <c r="AD185" s="204">
        <f t="shared" si="137"/>
        <v>2037150.439143894</v>
      </c>
      <c r="AE185" s="204">
        <f t="shared" si="138"/>
        <v>0</v>
      </c>
      <c r="AF185" s="839">
        <f t="shared" si="139"/>
        <v>67225964.491748512</v>
      </c>
      <c r="AG185" s="203">
        <f t="shared" si="140"/>
        <v>0</v>
      </c>
      <c r="AH185" s="204">
        <f t="shared" si="141"/>
        <v>0</v>
      </c>
      <c r="AI185" s="204">
        <f t="shared" si="142"/>
        <v>6111451.3174316809</v>
      </c>
      <c r="AJ185" s="204">
        <f t="shared" si="143"/>
        <v>1222290.263486336</v>
      </c>
      <c r="AK185" s="204">
        <f t="shared" si="144"/>
        <v>0</v>
      </c>
      <c r="AL185" s="204">
        <f t="shared" si="145"/>
        <v>0</v>
      </c>
      <c r="AM185" s="210">
        <f t="shared" si="146"/>
        <v>7333741.5809180168</v>
      </c>
      <c r="AN185" s="203">
        <f t="shared" si="147"/>
        <v>70706096.491952643</v>
      </c>
      <c r="AO185" s="204">
        <f t="shared" si="148"/>
        <v>0</v>
      </c>
      <c r="AP185" s="204">
        <f t="shared" si="149"/>
        <v>35353048.245976321</v>
      </c>
      <c r="AQ185" s="204">
        <f t="shared" si="150"/>
        <v>49910185.759025395</v>
      </c>
      <c r="AR185" s="204">
        <f t="shared" si="151"/>
        <v>2079591.0732927246</v>
      </c>
      <c r="AS185" s="204">
        <f t="shared" si="152"/>
        <v>0</v>
      </c>
      <c r="AT185" s="210">
        <f t="shared" si="153"/>
        <v>158048921.57024708</v>
      </c>
      <c r="AU185" s="222">
        <v>0</v>
      </c>
      <c r="AV185" s="214">
        <f t="shared" si="167"/>
        <v>232.6086276429136</v>
      </c>
      <c r="AW185" s="225">
        <f t="shared" si="154"/>
        <v>3.666315570517225</v>
      </c>
    </row>
    <row r="186" spans="1:49">
      <c r="A186" s="166">
        <f>'Input data'!A144</f>
        <v>2044</v>
      </c>
      <c r="B186" s="177">
        <f>'Input data'!B144</f>
        <v>73.165122580420132</v>
      </c>
      <c r="C186" s="100">
        <f>'Recycling - Case 2'!E124</f>
        <v>1</v>
      </c>
      <c r="D186" s="471">
        <f>'Recycling - Case 2'!F124</f>
        <v>0.36725000000000002</v>
      </c>
      <c r="E186" s="203">
        <f t="shared" si="155"/>
        <v>1138779464.9669816</v>
      </c>
      <c r="F186" s="204">
        <v>0</v>
      </c>
      <c r="G186" s="205">
        <f t="shared" si="132"/>
        <v>1138779464.9669816</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25622537.96175709</v>
      </c>
      <c r="AA186" s="204">
        <f t="shared" si="134"/>
        <v>0</v>
      </c>
      <c r="AB186" s="204">
        <f t="shared" si="135"/>
        <v>25622537.96175709</v>
      </c>
      <c r="AC186" s="204">
        <f t="shared" si="136"/>
        <v>14348621.258583972</v>
      </c>
      <c r="AD186" s="204">
        <f t="shared" si="137"/>
        <v>2049803.0369405674</v>
      </c>
      <c r="AE186" s="204">
        <f t="shared" si="138"/>
        <v>0</v>
      </c>
      <c r="AF186" s="839">
        <f t="shared" si="139"/>
        <v>67643500.219038725</v>
      </c>
      <c r="AG186" s="203">
        <f t="shared" si="140"/>
        <v>0</v>
      </c>
      <c r="AH186" s="204">
        <f t="shared" si="141"/>
        <v>0</v>
      </c>
      <c r="AI186" s="204">
        <f t="shared" si="142"/>
        <v>6149409.1108217007</v>
      </c>
      <c r="AJ186" s="204">
        <f t="shared" si="143"/>
        <v>1229881.8221643399</v>
      </c>
      <c r="AK186" s="204">
        <f t="shared" si="144"/>
        <v>0</v>
      </c>
      <c r="AL186" s="204">
        <f t="shared" si="145"/>
        <v>0</v>
      </c>
      <c r="AM186" s="210">
        <f t="shared" si="146"/>
        <v>7379290.9329860406</v>
      </c>
      <c r="AN186" s="203">
        <f t="shared" si="147"/>
        <v>71145247.073812187</v>
      </c>
      <c r="AO186" s="204">
        <f t="shared" si="148"/>
        <v>0</v>
      </c>
      <c r="AP186" s="204">
        <f t="shared" si="149"/>
        <v>35572623.536906093</v>
      </c>
      <c r="AQ186" s="204">
        <f t="shared" si="150"/>
        <v>50220174.405043885</v>
      </c>
      <c r="AR186" s="204">
        <f t="shared" si="151"/>
        <v>2092507.2668768286</v>
      </c>
      <c r="AS186" s="204">
        <f t="shared" si="152"/>
        <v>0</v>
      </c>
      <c r="AT186" s="210">
        <f t="shared" si="153"/>
        <v>159030552.28263897</v>
      </c>
      <c r="AU186" s="222">
        <v>0</v>
      </c>
      <c r="AV186" s="214">
        <f t="shared" si="167"/>
        <v>234.0533434346637</v>
      </c>
      <c r="AW186" s="225">
        <f t="shared" si="154"/>
        <v>3.6890867981193103</v>
      </c>
    </row>
    <row r="187" spans="1:49">
      <c r="A187" s="166">
        <f>'Input data'!A145</f>
        <v>2045</v>
      </c>
      <c r="B187" s="177">
        <f>'Input data'!B145</f>
        <v>73.619545999999971</v>
      </c>
      <c r="C187" s="100">
        <f>'Recycling - Case 2'!E125</f>
        <v>1</v>
      </c>
      <c r="D187" s="471">
        <f>'Recycling - Case 2'!F125</f>
        <v>0.36725000000000002</v>
      </c>
      <c r="E187" s="203">
        <f t="shared" si="155"/>
        <v>1145852343.9613247</v>
      </c>
      <c r="F187" s="204">
        <v>0</v>
      </c>
      <c r="G187" s="205">
        <f t="shared" si="132"/>
        <v>1145852343.9613247</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25781677.739129808</v>
      </c>
      <c r="AA187" s="204">
        <f t="shared" si="134"/>
        <v>0</v>
      </c>
      <c r="AB187" s="204">
        <f t="shared" si="135"/>
        <v>25781677.739129808</v>
      </c>
      <c r="AC187" s="204">
        <f t="shared" si="136"/>
        <v>14437739.533912696</v>
      </c>
      <c r="AD187" s="204">
        <f t="shared" si="137"/>
        <v>2062534.2191303847</v>
      </c>
      <c r="AE187" s="204">
        <f t="shared" si="138"/>
        <v>0</v>
      </c>
      <c r="AF187" s="839">
        <f t="shared" si="139"/>
        <v>68063629.231302693</v>
      </c>
      <c r="AG187" s="203">
        <f t="shared" si="140"/>
        <v>0</v>
      </c>
      <c r="AH187" s="204">
        <f t="shared" si="141"/>
        <v>0</v>
      </c>
      <c r="AI187" s="204">
        <f t="shared" si="142"/>
        <v>6187602.6573911523</v>
      </c>
      <c r="AJ187" s="204">
        <f t="shared" si="143"/>
        <v>1237520.5314782304</v>
      </c>
      <c r="AK187" s="204">
        <f t="shared" si="144"/>
        <v>0</v>
      </c>
      <c r="AL187" s="204">
        <f t="shared" si="145"/>
        <v>0</v>
      </c>
      <c r="AM187" s="210">
        <f t="shared" si="146"/>
        <v>7425123.1888693832</v>
      </c>
      <c r="AN187" s="203">
        <f t="shared" si="147"/>
        <v>71587125.188983753</v>
      </c>
      <c r="AO187" s="204">
        <f t="shared" si="148"/>
        <v>0</v>
      </c>
      <c r="AP187" s="204">
        <f t="shared" si="149"/>
        <v>35793562.594491877</v>
      </c>
      <c r="AQ187" s="204">
        <f t="shared" si="150"/>
        <v>50532088.368694417</v>
      </c>
      <c r="AR187" s="204">
        <f t="shared" si="151"/>
        <v>2105503.6820289339</v>
      </c>
      <c r="AS187" s="204">
        <f t="shared" si="152"/>
        <v>0</v>
      </c>
      <c r="AT187" s="210">
        <f t="shared" si="153"/>
        <v>160018279.83419898</v>
      </c>
      <c r="AU187" s="222">
        <v>0</v>
      </c>
      <c r="AV187" s="214">
        <f t="shared" si="167"/>
        <v>235.50703225437104</v>
      </c>
      <c r="AW187" s="225">
        <f t="shared" si="154"/>
        <v>3.711999456211089</v>
      </c>
    </row>
    <row r="188" spans="1:49">
      <c r="A188" s="166">
        <f>'Input data'!A146</f>
        <v>2046</v>
      </c>
      <c r="B188" s="177">
        <f>'Input data'!B146</f>
        <v>73.995362001779526</v>
      </c>
      <c r="C188" s="100">
        <f>'Recycling - Case 2'!E126</f>
        <v>1</v>
      </c>
      <c r="D188" s="471">
        <f>'Recycling - Case 2'!F126</f>
        <v>0.36725000000000002</v>
      </c>
      <c r="E188" s="203">
        <f t="shared" si="155"/>
        <v>1151701736.8187225</v>
      </c>
      <c r="F188" s="204">
        <v>0</v>
      </c>
      <c r="G188" s="205">
        <f t="shared" si="132"/>
        <v>1151701736.8187225</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25913289.078421257</v>
      </c>
      <c r="AA188" s="204">
        <f t="shared" si="134"/>
        <v>0</v>
      </c>
      <c r="AB188" s="204">
        <f t="shared" si="135"/>
        <v>25913289.078421257</v>
      </c>
      <c r="AC188" s="204">
        <f t="shared" si="136"/>
        <v>14511441.883915907</v>
      </c>
      <c r="AD188" s="204">
        <f t="shared" si="137"/>
        <v>2073063.1262737007</v>
      </c>
      <c r="AE188" s="204">
        <f t="shared" si="138"/>
        <v>0</v>
      </c>
      <c r="AF188" s="839">
        <f t="shared" si="139"/>
        <v>68411083.167032123</v>
      </c>
      <c r="AG188" s="203">
        <f t="shared" si="140"/>
        <v>0</v>
      </c>
      <c r="AH188" s="204">
        <f t="shared" si="141"/>
        <v>0</v>
      </c>
      <c r="AI188" s="204">
        <f t="shared" si="142"/>
        <v>6219189.378821101</v>
      </c>
      <c r="AJ188" s="204">
        <f t="shared" si="143"/>
        <v>1243837.87576422</v>
      </c>
      <c r="AK188" s="204">
        <f t="shared" si="144"/>
        <v>0</v>
      </c>
      <c r="AL188" s="204">
        <f t="shared" si="145"/>
        <v>0</v>
      </c>
      <c r="AM188" s="210">
        <f t="shared" si="146"/>
        <v>7463027.2545853211</v>
      </c>
      <c r="AN188" s="203">
        <f t="shared" si="147"/>
        <v>71952566.007749677</v>
      </c>
      <c r="AO188" s="204">
        <f t="shared" si="148"/>
        <v>0</v>
      </c>
      <c r="AP188" s="204">
        <f t="shared" si="149"/>
        <v>35976283.003874838</v>
      </c>
      <c r="AQ188" s="204">
        <f t="shared" si="150"/>
        <v>50790046.593705654</v>
      </c>
      <c r="AR188" s="204">
        <f t="shared" si="151"/>
        <v>2116251.9414044023</v>
      </c>
      <c r="AS188" s="204">
        <f t="shared" si="152"/>
        <v>0</v>
      </c>
      <c r="AT188" s="210">
        <f t="shared" si="153"/>
        <v>160835147.54673457</v>
      </c>
      <c r="AU188" s="222">
        <v>0</v>
      </c>
      <c r="AV188" s="214">
        <f t="shared" si="167"/>
        <v>236.70925796835201</v>
      </c>
      <c r="AW188" s="225">
        <f t="shared" si="154"/>
        <v>3.7309486194433799</v>
      </c>
    </row>
    <row r="189" spans="1:49">
      <c r="A189" s="166">
        <f>'Input data'!A147</f>
        <v>2047</v>
      </c>
      <c r="B189" s="177">
        <f>'Input data'!B147</f>
        <v>74.373096484110363</v>
      </c>
      <c r="C189" s="100">
        <f>'Recycling - Case 2'!E127</f>
        <v>1</v>
      </c>
      <c r="D189" s="471">
        <f>'Recycling - Case 2'!F127</f>
        <v>0.36725000000000002</v>
      </c>
      <c r="E189" s="203">
        <f t="shared" si="155"/>
        <v>1157580989.8906419</v>
      </c>
      <c r="F189" s="204">
        <v>0</v>
      </c>
      <c r="G189" s="205">
        <f t="shared" si="132"/>
        <v>1157580989.8906419</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26045572.272539444</v>
      </c>
      <c r="AA189" s="204">
        <f t="shared" si="134"/>
        <v>0</v>
      </c>
      <c r="AB189" s="204">
        <f t="shared" si="135"/>
        <v>26045572.272539444</v>
      </c>
      <c r="AC189" s="204">
        <f t="shared" si="136"/>
        <v>14585520.472622091</v>
      </c>
      <c r="AD189" s="204">
        <f t="shared" si="137"/>
        <v>2083645.7818031558</v>
      </c>
      <c r="AE189" s="204">
        <f t="shared" si="138"/>
        <v>0</v>
      </c>
      <c r="AF189" s="839">
        <f t="shared" si="139"/>
        <v>68760310.799504131</v>
      </c>
      <c r="AG189" s="203">
        <f t="shared" si="140"/>
        <v>0</v>
      </c>
      <c r="AH189" s="204">
        <f t="shared" si="141"/>
        <v>0</v>
      </c>
      <c r="AI189" s="204">
        <f t="shared" si="142"/>
        <v>6250937.345409466</v>
      </c>
      <c r="AJ189" s="204">
        <f t="shared" si="143"/>
        <v>1250187.4690818931</v>
      </c>
      <c r="AK189" s="204">
        <f t="shared" si="144"/>
        <v>0</v>
      </c>
      <c r="AL189" s="204">
        <f t="shared" si="145"/>
        <v>0</v>
      </c>
      <c r="AM189" s="210">
        <f t="shared" si="146"/>
        <v>7501124.8144913595</v>
      </c>
      <c r="AN189" s="203">
        <f t="shared" si="147"/>
        <v>72319872.343417853</v>
      </c>
      <c r="AO189" s="204">
        <f t="shared" si="148"/>
        <v>0</v>
      </c>
      <c r="AP189" s="204">
        <f t="shared" si="149"/>
        <v>36159936.171708927</v>
      </c>
      <c r="AQ189" s="204">
        <f t="shared" si="150"/>
        <v>51049321.654177308</v>
      </c>
      <c r="AR189" s="204">
        <f t="shared" si="151"/>
        <v>2127055.0689240545</v>
      </c>
      <c r="AS189" s="204">
        <f t="shared" si="152"/>
        <v>0</v>
      </c>
      <c r="AT189" s="210">
        <f t="shared" si="153"/>
        <v>161656185.23822814</v>
      </c>
      <c r="AU189" s="222">
        <v>0</v>
      </c>
      <c r="AV189" s="214">
        <f t="shared" si="167"/>
        <v>237.91762085222362</v>
      </c>
      <c r="AW189" s="225">
        <f t="shared" si="154"/>
        <v>3.74999451512174</v>
      </c>
    </row>
    <row r="190" spans="1:49">
      <c r="A190" s="166">
        <f>'Input data'!A148</f>
        <v>2048</v>
      </c>
      <c r="B190" s="177">
        <f>'Input data'!B148</f>
        <v>74.752759240528661</v>
      </c>
      <c r="C190" s="100">
        <f>'Recycling - Case 2'!E128</f>
        <v>1</v>
      </c>
      <c r="D190" s="471">
        <f>'Recycling - Case 2'!F128</f>
        <v>0.36725000000000002</v>
      </c>
      <c r="E190" s="203">
        <f t="shared" si="155"/>
        <v>1163490255.6086991</v>
      </c>
      <c r="F190" s="204">
        <v>0</v>
      </c>
      <c r="G190" s="205">
        <f t="shared" si="132"/>
        <v>1163490255.6086991</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26178530.751195729</v>
      </c>
      <c r="AA190" s="204">
        <f t="shared" si="134"/>
        <v>0</v>
      </c>
      <c r="AB190" s="204">
        <f t="shared" si="135"/>
        <v>26178530.751195729</v>
      </c>
      <c r="AC190" s="204">
        <f t="shared" si="136"/>
        <v>14659977.220669612</v>
      </c>
      <c r="AD190" s="204">
        <f t="shared" si="137"/>
        <v>2094282.4600956584</v>
      </c>
      <c r="AE190" s="204">
        <f t="shared" si="138"/>
        <v>0</v>
      </c>
      <c r="AF190" s="839">
        <f t="shared" si="139"/>
        <v>69111321.183156729</v>
      </c>
      <c r="AG190" s="203">
        <f t="shared" si="140"/>
        <v>0</v>
      </c>
      <c r="AH190" s="204">
        <f t="shared" si="141"/>
        <v>0</v>
      </c>
      <c r="AI190" s="204">
        <f t="shared" si="142"/>
        <v>6282847.3802869748</v>
      </c>
      <c r="AJ190" s="204">
        <f t="shared" si="143"/>
        <v>1256569.4760573949</v>
      </c>
      <c r="AK190" s="204">
        <f t="shared" si="144"/>
        <v>0</v>
      </c>
      <c r="AL190" s="204">
        <f t="shared" si="145"/>
        <v>0</v>
      </c>
      <c r="AM190" s="210">
        <f t="shared" si="146"/>
        <v>7539416.8563443702</v>
      </c>
      <c r="AN190" s="203">
        <f t="shared" si="147"/>
        <v>72689053.719153479</v>
      </c>
      <c r="AO190" s="204">
        <f t="shared" si="148"/>
        <v>0</v>
      </c>
      <c r="AP190" s="204">
        <f t="shared" si="149"/>
        <v>36344526.859576739</v>
      </c>
      <c r="AQ190" s="204">
        <f t="shared" si="150"/>
        <v>51309920.272343628</v>
      </c>
      <c r="AR190" s="204">
        <f t="shared" si="151"/>
        <v>2137913.3446809845</v>
      </c>
      <c r="AS190" s="204">
        <f t="shared" si="152"/>
        <v>0</v>
      </c>
      <c r="AT190" s="210">
        <f t="shared" si="153"/>
        <v>162481414.19575486</v>
      </c>
      <c r="AU190" s="222">
        <v>0</v>
      </c>
      <c r="AV190" s="214">
        <f t="shared" si="167"/>
        <v>239.13215223525594</v>
      </c>
      <c r="AW190" s="225">
        <f t="shared" si="154"/>
        <v>3.769137637049826</v>
      </c>
    </row>
    <row r="191" spans="1:49">
      <c r="A191" s="166">
        <f>'Input data'!A149</f>
        <v>2049</v>
      </c>
      <c r="B191" s="177">
        <f>'Input data'!B149</f>
        <v>75.134360114565098</v>
      </c>
      <c r="C191" s="100">
        <f>'Recycling - Case 2'!E129</f>
        <v>1</v>
      </c>
      <c r="D191" s="471">
        <f>'Recycling - Case 2'!F129</f>
        <v>0.36725000000000002</v>
      </c>
      <c r="E191" s="203">
        <f t="shared" si="155"/>
        <v>1169429687.1826501</v>
      </c>
      <c r="F191" s="204">
        <v>0</v>
      </c>
      <c r="G191" s="205">
        <f t="shared" si="132"/>
        <v>1169429687.1826501</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26312167.961609632</v>
      </c>
      <c r="AA191" s="204">
        <f t="shared" si="134"/>
        <v>0</v>
      </c>
      <c r="AB191" s="204">
        <f t="shared" si="135"/>
        <v>26312167.961609632</v>
      </c>
      <c r="AC191" s="204">
        <f t="shared" si="136"/>
        <v>14734814.058501394</v>
      </c>
      <c r="AD191" s="204">
        <f t="shared" si="137"/>
        <v>2104973.4369287705</v>
      </c>
      <c r="AE191" s="204">
        <f t="shared" si="138"/>
        <v>0</v>
      </c>
      <c r="AF191" s="839">
        <f t="shared" si="139"/>
        <v>69464123.41864942</v>
      </c>
      <c r="AG191" s="203">
        <f t="shared" si="140"/>
        <v>0</v>
      </c>
      <c r="AH191" s="204">
        <f t="shared" si="141"/>
        <v>0</v>
      </c>
      <c r="AI191" s="204">
        <f t="shared" si="142"/>
        <v>6314920.3107863097</v>
      </c>
      <c r="AJ191" s="204">
        <f t="shared" si="143"/>
        <v>1262984.0621572619</v>
      </c>
      <c r="AK191" s="204">
        <f t="shared" si="144"/>
        <v>0</v>
      </c>
      <c r="AL191" s="204">
        <f t="shared" si="145"/>
        <v>0</v>
      </c>
      <c r="AM191" s="210">
        <f t="shared" si="146"/>
        <v>7577904.3729435718</v>
      </c>
      <c r="AN191" s="203">
        <f t="shared" si="147"/>
        <v>73060119.706736073</v>
      </c>
      <c r="AO191" s="204">
        <f t="shared" si="148"/>
        <v>0</v>
      </c>
      <c r="AP191" s="204">
        <f t="shared" si="149"/>
        <v>36530059.853368036</v>
      </c>
      <c r="AQ191" s="204">
        <f t="shared" si="150"/>
        <v>51571849.204754859</v>
      </c>
      <c r="AR191" s="204">
        <f t="shared" si="151"/>
        <v>2148827.0501981191</v>
      </c>
      <c r="AS191" s="204">
        <f t="shared" si="152"/>
        <v>0</v>
      </c>
      <c r="AT191" s="210">
        <f t="shared" si="153"/>
        <v>163310855.81505707</v>
      </c>
      <c r="AU191" s="222">
        <v>0</v>
      </c>
      <c r="AV191" s="214">
        <f t="shared" si="167"/>
        <v>240.35288360665007</v>
      </c>
      <c r="AW191" s="225">
        <f t="shared" si="154"/>
        <v>3.7883784815520856</v>
      </c>
    </row>
    <row r="192" spans="1:49" ht="15" thickBot="1">
      <c r="A192" s="168">
        <f>'Input data'!A150</f>
        <v>2050</v>
      </c>
      <c r="B192" s="178">
        <f>'Input data'!B150</f>
        <v>75.517908999999989</v>
      </c>
      <c r="C192" s="581">
        <f>'Recycling - Case 2'!E130</f>
        <v>1</v>
      </c>
      <c r="D192" s="582">
        <f>'Recycling - Case 2'!F130</f>
        <v>0.36725000000000002</v>
      </c>
      <c r="E192" s="206">
        <f>B192*$C$4*($C$7*$C$11+$C$8*$C$10+$C$7*$C$12)*10^6</f>
        <v>1175399438.6043625</v>
      </c>
      <c r="F192" s="207">
        <v>0</v>
      </c>
      <c r="G192" s="208">
        <f t="shared" si="132"/>
        <v>1175399438.6043625</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26446487.368598159</v>
      </c>
      <c r="AA192" s="207">
        <f t="shared" si="134"/>
        <v>0</v>
      </c>
      <c r="AB192" s="207">
        <f t="shared" si="135"/>
        <v>26446487.368598159</v>
      </c>
      <c r="AC192" s="207">
        <f t="shared" si="136"/>
        <v>14810032.926414972</v>
      </c>
      <c r="AD192" s="207">
        <f t="shared" si="137"/>
        <v>2115718.9894878524</v>
      </c>
      <c r="AE192" s="207">
        <f t="shared" si="138"/>
        <v>0</v>
      </c>
      <c r="AF192" s="840">
        <f t="shared" si="139"/>
        <v>69818726.653099149</v>
      </c>
      <c r="AG192" s="206">
        <f t="shared" si="140"/>
        <v>0</v>
      </c>
      <c r="AH192" s="207">
        <f t="shared" si="141"/>
        <v>0</v>
      </c>
      <c r="AI192" s="207">
        <f t="shared" si="142"/>
        <v>6347156.9684635568</v>
      </c>
      <c r="AJ192" s="207">
        <f t="shared" si="143"/>
        <v>1269431.3936927111</v>
      </c>
      <c r="AK192" s="207">
        <f t="shared" si="144"/>
        <v>0</v>
      </c>
      <c r="AL192" s="207">
        <f t="shared" si="145"/>
        <v>0</v>
      </c>
      <c r="AM192" s="211">
        <f t="shared" si="146"/>
        <v>7616588.3621562682</v>
      </c>
      <c r="AN192" s="206">
        <f t="shared" si="147"/>
        <v>73433079.926807553</v>
      </c>
      <c r="AO192" s="207">
        <f t="shared" si="148"/>
        <v>0</v>
      </c>
      <c r="AP192" s="207">
        <f t="shared" si="149"/>
        <v>36716539.963403776</v>
      </c>
      <c r="AQ192" s="207">
        <f t="shared" si="150"/>
        <v>51835115.242452383</v>
      </c>
      <c r="AR192" s="207">
        <f t="shared" si="151"/>
        <v>2159796.4684355161</v>
      </c>
      <c r="AS192" s="207">
        <f t="shared" si="152"/>
        <v>0</v>
      </c>
      <c r="AT192" s="211">
        <f t="shared" si="153"/>
        <v>164144531.60109925</v>
      </c>
      <c r="AU192" s="223">
        <v>0</v>
      </c>
      <c r="AV192" s="217">
        <f t="shared" si="167"/>
        <v>241.57984661635467</v>
      </c>
      <c r="AW192" s="226">
        <f t="shared" si="154"/>
        <v>3.8077175474866229</v>
      </c>
    </row>
    <row r="193" spans="1:49" ht="21.6"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59.308690000000006</v>
      </c>
      <c r="C196" s="100">
        <f>'Recycling - Case 3'!E100</f>
        <v>0.78061538461538471</v>
      </c>
      <c r="D196" s="471">
        <f>'Recycling - Case 3'!F100</f>
        <v>0.30815384615384617</v>
      </c>
      <c r="E196" s="203">
        <f t="shared" si="188"/>
        <v>923110846.86362517</v>
      </c>
      <c r="F196" s="204">
        <v>0</v>
      </c>
      <c r="G196" s="205">
        <f t="shared" si="189"/>
        <v>923110846.86362517</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13101073.172795299</v>
      </c>
      <c r="AA196" s="204">
        <f t="shared" si="192"/>
        <v>0</v>
      </c>
      <c r="AB196" s="204">
        <f t="shared" si="193"/>
        <v>13101073.172795299</v>
      </c>
      <c r="AC196" s="204">
        <f t="shared" si="194"/>
        <v>7336600.9767653672</v>
      </c>
      <c r="AD196" s="204">
        <f t="shared" si="195"/>
        <v>1048085.8538236235</v>
      </c>
      <c r="AE196" s="204">
        <f t="shared" si="196"/>
        <v>0</v>
      </c>
      <c r="AF196" s="210">
        <f t="shared" si="197"/>
        <v>34586833.176179588</v>
      </c>
      <c r="AG196" s="203">
        <f t="shared" si="198"/>
        <v>0</v>
      </c>
      <c r="AH196" s="204">
        <f t="shared" si="199"/>
        <v>0</v>
      </c>
      <c r="AI196" s="204">
        <f t="shared" si="200"/>
        <v>4984798.5730635757</v>
      </c>
      <c r="AJ196" s="204">
        <f t="shared" si="201"/>
        <v>996959.71461271506</v>
      </c>
      <c r="AK196" s="204">
        <f t="shared" si="202"/>
        <v>0</v>
      </c>
      <c r="AL196" s="204">
        <f t="shared" si="203"/>
        <v>0</v>
      </c>
      <c r="AM196" s="839">
        <f t="shared" si="204"/>
        <v>5981758.2876762906</v>
      </c>
      <c r="AN196" s="203">
        <f t="shared" si="205"/>
        <v>48798834.748911917</v>
      </c>
      <c r="AO196" s="204">
        <f t="shared" si="206"/>
        <v>0</v>
      </c>
      <c r="AP196" s="204">
        <f t="shared" si="207"/>
        <v>24399417.374455959</v>
      </c>
      <c r="AQ196" s="204">
        <f t="shared" si="208"/>
        <v>34446236.293349579</v>
      </c>
      <c r="AR196" s="204">
        <f t="shared" si="209"/>
        <v>1435259.8455562324</v>
      </c>
      <c r="AS196" s="204">
        <f t="shared" si="210"/>
        <v>0</v>
      </c>
      <c r="AT196" s="210">
        <f t="shared" si="211"/>
        <v>109079748.26227368</v>
      </c>
      <c r="AU196" s="222">
        <v>0</v>
      </c>
      <c r="AV196" s="214">
        <f t="shared" si="212"/>
        <v>149.64833972612956</v>
      </c>
      <c r="AW196" s="841">
        <f t="shared" si="213"/>
        <v>2.9904262793007734</v>
      </c>
    </row>
    <row r="197" spans="1:49">
      <c r="A197" s="89">
        <f>'Input data'!A121</f>
        <v>2021</v>
      </c>
      <c r="B197" s="93">
        <f>'Input data'!B121</f>
        <v>59.991580449204264</v>
      </c>
      <c r="C197" s="100">
        <f>'Recycling - Case 3'!E101</f>
        <v>0.80255384615384628</v>
      </c>
      <c r="D197" s="471">
        <f>'Recycling - Case 3'!F101</f>
        <v>0.31433846153846157</v>
      </c>
      <c r="E197" s="203">
        <f t="shared" si="188"/>
        <v>933739703.79639542</v>
      </c>
      <c r="F197" s="204">
        <v>0</v>
      </c>
      <c r="G197" s="205">
        <f t="shared" si="189"/>
        <v>933739703.79639542</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14027643.396264313</v>
      </c>
      <c r="AA197" s="204">
        <f t="shared" si="192"/>
        <v>0</v>
      </c>
      <c r="AB197" s="204">
        <f t="shared" si="193"/>
        <v>14027643.396264313</v>
      </c>
      <c r="AC197" s="204">
        <f t="shared" si="194"/>
        <v>7855480.3019080153</v>
      </c>
      <c r="AD197" s="204">
        <f t="shared" si="195"/>
        <v>1122211.4717011447</v>
      </c>
      <c r="AE197" s="204">
        <f t="shared" si="196"/>
        <v>0</v>
      </c>
      <c r="AF197" s="210">
        <f t="shared" si="197"/>
        <v>37032978.566137783</v>
      </c>
      <c r="AG197" s="203">
        <f t="shared" si="198"/>
        <v>0</v>
      </c>
      <c r="AH197" s="204">
        <f t="shared" si="199"/>
        <v>0</v>
      </c>
      <c r="AI197" s="204">
        <f t="shared" si="200"/>
        <v>5042194.400500535</v>
      </c>
      <c r="AJ197" s="204">
        <f t="shared" si="201"/>
        <v>1008438.8801001071</v>
      </c>
      <c r="AK197" s="204">
        <f t="shared" si="202"/>
        <v>0</v>
      </c>
      <c r="AL197" s="204">
        <f t="shared" si="203"/>
        <v>0</v>
      </c>
      <c r="AM197" s="839">
        <f t="shared" si="204"/>
        <v>6050633.2806006419</v>
      </c>
      <c r="AN197" s="203">
        <f t="shared" si="205"/>
        <v>50258180.426185682</v>
      </c>
      <c r="AO197" s="204">
        <f t="shared" si="206"/>
        <v>0</v>
      </c>
      <c r="AP197" s="204">
        <f t="shared" si="207"/>
        <v>25129090.213092841</v>
      </c>
      <c r="AQ197" s="204">
        <f t="shared" si="208"/>
        <v>35476362.653778128</v>
      </c>
      <c r="AR197" s="204">
        <f t="shared" si="209"/>
        <v>1478181.777240755</v>
      </c>
      <c r="AS197" s="204">
        <f t="shared" si="210"/>
        <v>0</v>
      </c>
      <c r="AT197" s="210">
        <f t="shared" si="211"/>
        <v>112341815.07029742</v>
      </c>
      <c r="AU197" s="222">
        <v>0</v>
      </c>
      <c r="AV197" s="214">
        <f t="shared" si="212"/>
        <v>155.42542691703585</v>
      </c>
      <c r="AW197" s="841">
        <f t="shared" si="213"/>
        <v>3.0248585614028385</v>
      </c>
    </row>
    <row r="198" spans="1:49">
      <c r="A198" s="89">
        <f>'Input data'!A122</f>
        <v>2022</v>
      </c>
      <c r="B198" s="93">
        <f>'Input data'!B122</f>
        <v>60.682333816399378</v>
      </c>
      <c r="C198" s="100">
        <f>'Recycling - Case 3'!E102</f>
        <v>0.82449230769230786</v>
      </c>
      <c r="D198" s="471">
        <f>'Recycling - Case 3'!F102</f>
        <v>0.32052307692307697</v>
      </c>
      <c r="E198" s="203">
        <f t="shared" si="188"/>
        <v>944490943.21452093</v>
      </c>
      <c r="F198" s="204">
        <v>0</v>
      </c>
      <c r="G198" s="205">
        <f t="shared" si="189"/>
        <v>944490943.21452093</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14973814.107424062</v>
      </c>
      <c r="AA198" s="204">
        <f t="shared" si="192"/>
        <v>0</v>
      </c>
      <c r="AB198" s="204">
        <f t="shared" si="193"/>
        <v>14973814.107424062</v>
      </c>
      <c r="AC198" s="204">
        <f t="shared" si="194"/>
        <v>8385335.9001574758</v>
      </c>
      <c r="AD198" s="204">
        <f t="shared" si="195"/>
        <v>1197905.1285939245</v>
      </c>
      <c r="AE198" s="204">
        <f t="shared" si="196"/>
        <v>0</v>
      </c>
      <c r="AF198" s="210">
        <f t="shared" si="197"/>
        <v>39530869.243599519</v>
      </c>
      <c r="AG198" s="203">
        <f t="shared" si="198"/>
        <v>0</v>
      </c>
      <c r="AH198" s="204">
        <f t="shared" si="199"/>
        <v>0</v>
      </c>
      <c r="AI198" s="204">
        <f t="shared" si="200"/>
        <v>5100251.0933584133</v>
      </c>
      <c r="AJ198" s="204">
        <f t="shared" si="201"/>
        <v>1020050.2186716824</v>
      </c>
      <c r="AK198" s="204">
        <f t="shared" si="202"/>
        <v>0</v>
      </c>
      <c r="AL198" s="204">
        <f t="shared" si="203"/>
        <v>0</v>
      </c>
      <c r="AM198" s="839">
        <f t="shared" si="204"/>
        <v>6120301.3120300956</v>
      </c>
      <c r="AN198" s="203">
        <f t="shared" si="205"/>
        <v>51744662.855502322</v>
      </c>
      <c r="AO198" s="204">
        <f t="shared" si="206"/>
        <v>0</v>
      </c>
      <c r="AP198" s="204">
        <f t="shared" si="207"/>
        <v>25872331.427751161</v>
      </c>
      <c r="AQ198" s="204">
        <f t="shared" si="208"/>
        <v>36525644.368589871</v>
      </c>
      <c r="AR198" s="204">
        <f t="shared" si="209"/>
        <v>1521901.8486912439</v>
      </c>
      <c r="AS198" s="204">
        <f t="shared" si="210"/>
        <v>0</v>
      </c>
      <c r="AT198" s="210">
        <f t="shared" si="211"/>
        <v>115664540.50053461</v>
      </c>
      <c r="AU198" s="222">
        <v>0</v>
      </c>
      <c r="AV198" s="214">
        <f t="shared" si="212"/>
        <v>161.31571105616422</v>
      </c>
      <c r="AW198" s="841">
        <f t="shared" si="213"/>
        <v>3.0596873027184164</v>
      </c>
    </row>
    <row r="199" spans="1:49">
      <c r="A199" s="89">
        <f>'Input data'!A123</f>
        <v>2023</v>
      </c>
      <c r="B199" s="93">
        <f>'Input data'!B123</f>
        <v>61.381040636574369</v>
      </c>
      <c r="C199" s="100">
        <f>'Recycling - Case 3'!E103</f>
        <v>0.84643076923076943</v>
      </c>
      <c r="D199" s="471">
        <f>'Recycling - Case 3'!F103</f>
        <v>0.32670769230769237</v>
      </c>
      <c r="E199" s="203">
        <f t="shared" si="188"/>
        <v>955365974.25096989</v>
      </c>
      <c r="F199" s="204">
        <v>0</v>
      </c>
      <c r="G199" s="205">
        <f t="shared" si="189"/>
        <v>955365974.25096989</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15939913.831925798</v>
      </c>
      <c r="AA199" s="204">
        <f t="shared" si="192"/>
        <v>0</v>
      </c>
      <c r="AB199" s="204">
        <f t="shared" si="193"/>
        <v>15939913.831925798</v>
      </c>
      <c r="AC199" s="204">
        <f t="shared" si="194"/>
        <v>8926351.7458784506</v>
      </c>
      <c r="AD199" s="204">
        <f t="shared" si="195"/>
        <v>1275193.1065540635</v>
      </c>
      <c r="AE199" s="204">
        <f t="shared" si="196"/>
        <v>0</v>
      </c>
      <c r="AF199" s="210">
        <f t="shared" si="197"/>
        <v>42081372.516284108</v>
      </c>
      <c r="AG199" s="203">
        <f t="shared" si="198"/>
        <v>0</v>
      </c>
      <c r="AH199" s="204">
        <f t="shared" si="199"/>
        <v>0</v>
      </c>
      <c r="AI199" s="204">
        <f t="shared" si="200"/>
        <v>5158976.2609552369</v>
      </c>
      <c r="AJ199" s="204">
        <f t="shared" si="201"/>
        <v>1031795.2521910473</v>
      </c>
      <c r="AK199" s="204">
        <f t="shared" si="202"/>
        <v>0</v>
      </c>
      <c r="AL199" s="204">
        <f t="shared" si="203"/>
        <v>0</v>
      </c>
      <c r="AM199" s="839">
        <f t="shared" si="204"/>
        <v>6190771.513146284</v>
      </c>
      <c r="AN199" s="203">
        <f t="shared" si="205"/>
        <v>53258713.476878501</v>
      </c>
      <c r="AO199" s="204">
        <f t="shared" si="206"/>
        <v>0</v>
      </c>
      <c r="AP199" s="204">
        <f t="shared" si="207"/>
        <v>26629356.738439251</v>
      </c>
      <c r="AQ199" s="204">
        <f t="shared" si="208"/>
        <v>37594385.983678937</v>
      </c>
      <c r="AR199" s="204">
        <f t="shared" si="209"/>
        <v>1566432.749319955</v>
      </c>
      <c r="AS199" s="204">
        <f t="shared" si="210"/>
        <v>0</v>
      </c>
      <c r="AT199" s="210">
        <f t="shared" si="211"/>
        <v>119048888.94831665</v>
      </c>
      <c r="AU199" s="222">
        <v>0</v>
      </c>
      <c r="AV199" s="214">
        <f t="shared" si="212"/>
        <v>167.32103297774702</v>
      </c>
      <c r="AW199" s="841">
        <f t="shared" si="213"/>
        <v>3.0949170681470224</v>
      </c>
    </row>
    <row r="200" spans="1:49">
      <c r="A200" s="89">
        <f>'Input data'!A124</f>
        <v>2024</v>
      </c>
      <c r="B200" s="93">
        <f>'Input data'!B124</f>
        <v>62.087792487153699</v>
      </c>
      <c r="C200" s="100">
        <f>'Recycling - Case 3'!E104</f>
        <v>0.868369230769231</v>
      </c>
      <c r="D200" s="471">
        <f>'Recycling - Case 3'!F104</f>
        <v>0.33289230769230777</v>
      </c>
      <c r="E200" s="203">
        <f t="shared" si="188"/>
        <v>966366222.26371002</v>
      </c>
      <c r="F200" s="204">
        <v>0</v>
      </c>
      <c r="G200" s="205">
        <f t="shared" si="189"/>
        <v>966366222.26371002</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16926276.062265135</v>
      </c>
      <c r="AA200" s="204">
        <f t="shared" si="192"/>
        <v>0</v>
      </c>
      <c r="AB200" s="204">
        <f t="shared" si="193"/>
        <v>16926276.062265135</v>
      </c>
      <c r="AC200" s="204">
        <f t="shared" si="194"/>
        <v>9478714.5948684812</v>
      </c>
      <c r="AD200" s="204">
        <f t="shared" si="195"/>
        <v>1354102.0849812105</v>
      </c>
      <c r="AE200" s="204">
        <f t="shared" si="196"/>
        <v>0</v>
      </c>
      <c r="AF200" s="210">
        <f t="shared" si="197"/>
        <v>44685368.804379962</v>
      </c>
      <c r="AG200" s="203">
        <f t="shared" si="198"/>
        <v>0</v>
      </c>
      <c r="AH200" s="204">
        <f t="shared" si="199"/>
        <v>0</v>
      </c>
      <c r="AI200" s="204">
        <f t="shared" si="200"/>
        <v>5218377.6002240339</v>
      </c>
      <c r="AJ200" s="204">
        <f t="shared" si="201"/>
        <v>1043675.5200448068</v>
      </c>
      <c r="AK200" s="204">
        <f t="shared" si="202"/>
        <v>0</v>
      </c>
      <c r="AL200" s="204">
        <f t="shared" si="203"/>
        <v>0</v>
      </c>
      <c r="AM200" s="839">
        <f t="shared" si="204"/>
        <v>6262053.1202688403</v>
      </c>
      <c r="AN200" s="203">
        <f t="shared" si="205"/>
        <v>54800770.06799373</v>
      </c>
      <c r="AO200" s="204">
        <f t="shared" si="206"/>
        <v>0</v>
      </c>
      <c r="AP200" s="204">
        <f t="shared" si="207"/>
        <v>27400385.033996865</v>
      </c>
      <c r="AQ200" s="204">
        <f t="shared" si="208"/>
        <v>38682896.518583804</v>
      </c>
      <c r="AR200" s="204">
        <f t="shared" si="209"/>
        <v>1611787.3549409909</v>
      </c>
      <c r="AS200" s="204">
        <f t="shared" si="210"/>
        <v>0</v>
      </c>
      <c r="AT200" s="210">
        <f t="shared" si="211"/>
        <v>122495838.9755154</v>
      </c>
      <c r="AU200" s="222">
        <v>0</v>
      </c>
      <c r="AV200" s="214">
        <f t="shared" si="212"/>
        <v>173.44326090016418</v>
      </c>
      <c r="AW200" s="841">
        <f t="shared" si="213"/>
        <v>3.1305524751492158</v>
      </c>
    </row>
    <row r="201" spans="1:49">
      <c r="A201" s="89">
        <f>'Input data'!A125</f>
        <v>2025</v>
      </c>
      <c r="B201" s="93">
        <f>'Input data'!B125</f>
        <v>62.802682000000026</v>
      </c>
      <c r="C201" s="100">
        <f>'Recycling - Case 3'!E105</f>
        <v>0.89030769230769258</v>
      </c>
      <c r="D201" s="471">
        <f>'Recycling - Case 3'!F105</f>
        <v>0.33907692307692316</v>
      </c>
      <c r="E201" s="203">
        <f t="shared" si="188"/>
        <v>977493129.02252555</v>
      </c>
      <c r="F201" s="204">
        <v>0</v>
      </c>
      <c r="G201" s="205">
        <f t="shared" si="189"/>
        <v>977493129.02252555</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17933239.328605562</v>
      </c>
      <c r="AA201" s="204">
        <f t="shared" si="192"/>
        <v>0</v>
      </c>
      <c r="AB201" s="204">
        <f t="shared" si="193"/>
        <v>17933239.328605562</v>
      </c>
      <c r="AC201" s="204">
        <f t="shared" si="194"/>
        <v>10042614.024019122</v>
      </c>
      <c r="AD201" s="204">
        <f t="shared" si="195"/>
        <v>1434659.146288445</v>
      </c>
      <c r="AE201" s="204">
        <f t="shared" si="196"/>
        <v>0</v>
      </c>
      <c r="AF201" s="210">
        <f t="shared" si="197"/>
        <v>47343751.827518694</v>
      </c>
      <c r="AG201" s="203">
        <f t="shared" si="198"/>
        <v>0</v>
      </c>
      <c r="AH201" s="204">
        <f t="shared" si="199"/>
        <v>0</v>
      </c>
      <c r="AI201" s="204">
        <f t="shared" si="200"/>
        <v>5278462.8967216378</v>
      </c>
      <c r="AJ201" s="204">
        <f t="shared" si="201"/>
        <v>1055692.5793443273</v>
      </c>
      <c r="AK201" s="204">
        <f t="shared" si="202"/>
        <v>0</v>
      </c>
      <c r="AL201" s="204">
        <f t="shared" si="203"/>
        <v>0</v>
      </c>
      <c r="AM201" s="839">
        <f t="shared" si="204"/>
        <v>6334155.4760659654</v>
      </c>
      <c r="AN201" s="203">
        <f t="shared" si="205"/>
        <v>56371276.832937509</v>
      </c>
      <c r="AO201" s="204">
        <f t="shared" si="206"/>
        <v>0</v>
      </c>
      <c r="AP201" s="204">
        <f t="shared" si="207"/>
        <v>28185638.416468754</v>
      </c>
      <c r="AQ201" s="204">
        <f t="shared" si="208"/>
        <v>39791489.529132359</v>
      </c>
      <c r="AR201" s="204">
        <f t="shared" si="209"/>
        <v>1657978.7303805137</v>
      </c>
      <c r="AS201" s="204">
        <f t="shared" si="210"/>
        <v>0</v>
      </c>
      <c r="AT201" s="210">
        <f t="shared" si="211"/>
        <v>126006383.50891913</v>
      </c>
      <c r="AU201" s="222">
        <v>0</v>
      </c>
      <c r="AV201" s="214">
        <f t="shared" si="212"/>
        <v>179.68429081250378</v>
      </c>
      <c r="AW201" s="841">
        <f t="shared" si="213"/>
        <v>3.166598194351784</v>
      </c>
    </row>
    <row r="202" spans="1:49">
      <c r="A202" s="89">
        <f>'Input data'!A126</f>
        <v>2026</v>
      </c>
      <c r="B202" s="93">
        <f>'Input data'!B126</f>
        <v>63.421065342005143</v>
      </c>
      <c r="C202" s="100">
        <f>'Recycling - Case 3'!E106</f>
        <v>0.91224615384615415</v>
      </c>
      <c r="D202" s="471">
        <f>'Recycling - Case 3'!F106</f>
        <v>0.34526153846153856</v>
      </c>
      <c r="E202" s="203">
        <f t="shared" si="188"/>
        <v>987117964.27895594</v>
      </c>
      <c r="F202" s="204">
        <v>0</v>
      </c>
      <c r="G202" s="205">
        <f t="shared" si="189"/>
        <v>987117964.27895594</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18929885.26882644</v>
      </c>
      <c r="AA202" s="204">
        <f t="shared" si="192"/>
        <v>0</v>
      </c>
      <c r="AB202" s="204">
        <f t="shared" si="193"/>
        <v>18929885.26882644</v>
      </c>
      <c r="AC202" s="204">
        <f t="shared" si="194"/>
        <v>10600735.750542812</v>
      </c>
      <c r="AD202" s="204">
        <f t="shared" si="195"/>
        <v>1514390.8215061149</v>
      </c>
      <c r="AE202" s="204">
        <f t="shared" si="196"/>
        <v>0</v>
      </c>
      <c r="AF202" s="210">
        <f t="shared" si="197"/>
        <v>49974897.109701805</v>
      </c>
      <c r="AG202" s="203">
        <f t="shared" si="198"/>
        <v>0</v>
      </c>
      <c r="AH202" s="204">
        <f t="shared" si="199"/>
        <v>0</v>
      </c>
      <c r="AI202" s="204">
        <f t="shared" si="200"/>
        <v>5330437.0071063619</v>
      </c>
      <c r="AJ202" s="204">
        <f t="shared" si="201"/>
        <v>1066087.4014212722</v>
      </c>
      <c r="AK202" s="204">
        <f t="shared" si="202"/>
        <v>0</v>
      </c>
      <c r="AL202" s="204">
        <f t="shared" si="203"/>
        <v>0</v>
      </c>
      <c r="AM202" s="839">
        <f t="shared" si="204"/>
        <v>6396524.4085276341</v>
      </c>
      <c r="AN202" s="203">
        <f t="shared" si="205"/>
        <v>57875105.906430691</v>
      </c>
      <c r="AO202" s="204">
        <f t="shared" si="206"/>
        <v>0</v>
      </c>
      <c r="AP202" s="204">
        <f t="shared" si="207"/>
        <v>28937552.953215346</v>
      </c>
      <c r="AQ202" s="204">
        <f t="shared" si="208"/>
        <v>40853015.93395108</v>
      </c>
      <c r="AR202" s="204">
        <f t="shared" si="209"/>
        <v>1702208.9972479602</v>
      </c>
      <c r="AS202" s="204">
        <f t="shared" si="210"/>
        <v>0</v>
      </c>
      <c r="AT202" s="210">
        <f t="shared" si="211"/>
        <v>129367883.79084508</v>
      </c>
      <c r="AU202" s="222">
        <v>0</v>
      </c>
      <c r="AV202" s="214">
        <f t="shared" si="212"/>
        <v>185.73930530907452</v>
      </c>
      <c r="AW202" s="841">
        <f t="shared" si="213"/>
        <v>3.1977779387807019</v>
      </c>
    </row>
    <row r="203" spans="1:49">
      <c r="A203" s="89">
        <f>'Input data'!A127</f>
        <v>2027</v>
      </c>
      <c r="B203" s="93">
        <f>'Input data'!B127</f>
        <v>64.045537563425796</v>
      </c>
      <c r="C203" s="100">
        <f>'Recycling - Case 3'!E107</f>
        <v>0.93418461538461572</v>
      </c>
      <c r="D203" s="471">
        <f>'Recycling - Case 3'!F107</f>
        <v>0.35144615384615396</v>
      </c>
      <c r="E203" s="203">
        <f t="shared" si="188"/>
        <v>996837569.97516036</v>
      </c>
      <c r="F203" s="204">
        <v>0</v>
      </c>
      <c r="G203" s="205">
        <f t="shared" si="189"/>
        <v>996837569.97516036</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19944419.380810708</v>
      </c>
      <c r="AA203" s="204">
        <f t="shared" ref="AA203:AA219" si="232">I203*$C$36*G203*$C$10</f>
        <v>0</v>
      </c>
      <c r="AB203" s="204">
        <f t="shared" ref="AB203:AB219" si="233">J203*$C$37*G203*$C$10</f>
        <v>19944419.380810708</v>
      </c>
      <c r="AC203" s="204">
        <f t="shared" ref="AC203:AC219" si="234">K203*$C$40*G203*$C$10</f>
        <v>11168874.853254002</v>
      </c>
      <c r="AD203" s="204">
        <f t="shared" ref="AD203:AD219" si="235">L203*$C$41*G203*$C$10</f>
        <v>1595553.5504648569</v>
      </c>
      <c r="AE203" s="204">
        <f t="shared" ref="AE203:AE219" si="236">M203*$C$42*G203*$C$10</f>
        <v>0</v>
      </c>
      <c r="AF203" s="210">
        <f t="shared" ref="AF203:AF219" si="237">SUM(Z203:AE203)</f>
        <v>52653267.165340275</v>
      </c>
      <c r="AG203" s="203">
        <f t="shared" ref="AG203:AG219" si="238">N203*$C$35*G203*$C$11</f>
        <v>0</v>
      </c>
      <c r="AH203" s="204">
        <f t="shared" ref="AH203:AH219" si="239">O203*$C$36*G203*$C$11</f>
        <v>0</v>
      </c>
      <c r="AI203" s="204">
        <f t="shared" ref="AI203:AI219" si="240">P203*$C$37*G203*$C$11</f>
        <v>5382922.8778658658</v>
      </c>
      <c r="AJ203" s="204">
        <f t="shared" ref="AJ203:AJ219" si="241">Q203*$C$38*G203*$C$11</f>
        <v>1076584.5755731731</v>
      </c>
      <c r="AK203" s="204">
        <f t="shared" ref="AK203:AK219" si="242">R203*$C$41*G203*$C$11</f>
        <v>0</v>
      </c>
      <c r="AL203" s="204">
        <f t="shared" ref="AL203:AL219" si="243">S203*$C$42*G203*$C$11</f>
        <v>0</v>
      </c>
      <c r="AM203" s="839">
        <f t="shared" ref="AM203:AM219" si="244">SUM(AG203:AL203)</f>
        <v>6459507.4534390392</v>
      </c>
      <c r="AN203" s="203">
        <f t="shared" ref="AN203:AN219" si="245">T203*$C$35*G203*$C$12</f>
        <v>59403084.391081326</v>
      </c>
      <c r="AO203" s="204">
        <f t="shared" ref="AO203:AO219" si="246">U203*$C$36*G203*$C$12</f>
        <v>0</v>
      </c>
      <c r="AP203" s="204">
        <f t="shared" ref="AP203:AP219" si="247">V203*$C$37*G203*$C$12</f>
        <v>29701542.195540663</v>
      </c>
      <c r="AQ203" s="204">
        <f t="shared" ref="AQ203:AQ219" si="248">W203*$C$39*G203*$C$12</f>
        <v>41931588.981939763</v>
      </c>
      <c r="AR203" s="204">
        <f t="shared" ref="AR203:AR219" si="249">X203*$C$41*G203*$C$12</f>
        <v>1747149.5409141548</v>
      </c>
      <c r="AS203" s="204">
        <f t="shared" ref="AS203:AS219" si="250">Y203*$C$42*N203*$C$12</f>
        <v>0</v>
      </c>
      <c r="AT203" s="210">
        <f t="shared" ref="AT203:AT219" si="251">SUM(AN203:AS203)</f>
        <v>132783365.1094759</v>
      </c>
      <c r="AU203" s="222">
        <v>0</v>
      </c>
      <c r="AV203" s="214">
        <f t="shared" ref="AV203:AV219" si="252">(AF203+AM203+AT203)/10^6-AU203</f>
        <v>191.89613972825521</v>
      </c>
      <c r="AW203" s="841">
        <f t="shared" ref="AW203:AW219" si="253">((B203*$C$46*$C$47*$C$48*$C$49)-$C$50)*$C$51*$C$52</f>
        <v>3.2292646929415123</v>
      </c>
    </row>
    <row r="204" spans="1:49">
      <c r="A204" s="89">
        <f>'Input data'!A128</f>
        <v>2028</v>
      </c>
      <c r="B204" s="93">
        <f>'Input data'!B128</f>
        <v>64.676158618096451</v>
      </c>
      <c r="C204" s="100">
        <f>'Recycling - Case 3'!E108</f>
        <v>0.9561230769230773</v>
      </c>
      <c r="D204" s="471">
        <f>'Recycling - Case 3'!F108</f>
        <v>0.35763076923076936</v>
      </c>
      <c r="E204" s="203">
        <f t="shared" si="188"/>
        <v>1006652879.2633451</v>
      </c>
      <c r="F204" s="204">
        <v>0</v>
      </c>
      <c r="G204" s="205">
        <f t="shared" si="189"/>
        <v>1006652879.2633451</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20977097.307110783</v>
      </c>
      <c r="AA204" s="204">
        <f t="shared" si="232"/>
        <v>0</v>
      </c>
      <c r="AB204" s="204">
        <f t="shared" si="233"/>
        <v>20977097.307110783</v>
      </c>
      <c r="AC204" s="204">
        <f t="shared" si="234"/>
        <v>11747174.491982045</v>
      </c>
      <c r="AD204" s="204">
        <f t="shared" si="235"/>
        <v>1678167.7845688628</v>
      </c>
      <c r="AE204" s="204">
        <f t="shared" si="236"/>
        <v>0</v>
      </c>
      <c r="AF204" s="210">
        <f t="shared" si="237"/>
        <v>55379536.890772469</v>
      </c>
      <c r="AG204" s="203">
        <f t="shared" si="238"/>
        <v>0</v>
      </c>
      <c r="AH204" s="204">
        <f t="shared" si="239"/>
        <v>0</v>
      </c>
      <c r="AI204" s="204">
        <f t="shared" si="240"/>
        <v>5435925.5480220634</v>
      </c>
      <c r="AJ204" s="204">
        <f t="shared" si="241"/>
        <v>1087185.1096044125</v>
      </c>
      <c r="AK204" s="204">
        <f t="shared" si="242"/>
        <v>0</v>
      </c>
      <c r="AL204" s="204">
        <f t="shared" si="243"/>
        <v>0</v>
      </c>
      <c r="AM204" s="839">
        <f t="shared" si="244"/>
        <v>6523110.6576264761</v>
      </c>
      <c r="AN204" s="203">
        <f t="shared" si="245"/>
        <v>60955542.058685884</v>
      </c>
      <c r="AO204" s="204">
        <f t="shared" si="246"/>
        <v>0</v>
      </c>
      <c r="AP204" s="204">
        <f t="shared" si="247"/>
        <v>30477771.029342942</v>
      </c>
      <c r="AQ204" s="204">
        <f t="shared" si="248"/>
        <v>43027441.453190044</v>
      </c>
      <c r="AR204" s="204">
        <f t="shared" si="249"/>
        <v>1792810.0605495835</v>
      </c>
      <c r="AS204" s="204">
        <f t="shared" si="250"/>
        <v>0</v>
      </c>
      <c r="AT204" s="210">
        <f t="shared" si="251"/>
        <v>136253564.60176846</v>
      </c>
      <c r="AU204" s="222">
        <v>0</v>
      </c>
      <c r="AV204" s="214">
        <f t="shared" si="252"/>
        <v>198.15621215016739</v>
      </c>
      <c r="AW204" s="841">
        <f t="shared" si="253"/>
        <v>3.2610614797895683</v>
      </c>
    </row>
    <row r="205" spans="1:49">
      <c r="A205" s="89">
        <f>'Input data'!A129</f>
        <v>2029</v>
      </c>
      <c r="B205" s="93">
        <f>'Input data'!B129</f>
        <v>65.31298905018393</v>
      </c>
      <c r="C205" s="100">
        <f>'Recycling - Case 3'!E109</f>
        <v>0.97806153846153887</v>
      </c>
      <c r="D205" s="471">
        <f>'Recycling - Case 3'!F109</f>
        <v>0.36381538461538476</v>
      </c>
      <c r="E205" s="203">
        <f t="shared" si="188"/>
        <v>1016564834.483951</v>
      </c>
      <c r="F205" s="204">
        <v>0</v>
      </c>
      <c r="G205" s="205">
        <f t="shared" si="189"/>
        <v>1016564834.483951</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22028177.990317609</v>
      </c>
      <c r="AA205" s="204">
        <f t="shared" si="232"/>
        <v>0</v>
      </c>
      <c r="AB205" s="204">
        <f t="shared" si="233"/>
        <v>22028177.990317609</v>
      </c>
      <c r="AC205" s="204">
        <f t="shared" si="234"/>
        <v>12335779.674577871</v>
      </c>
      <c r="AD205" s="204">
        <f t="shared" si="235"/>
        <v>1762254.2392254095</v>
      </c>
      <c r="AE205" s="204">
        <f t="shared" si="236"/>
        <v>0</v>
      </c>
      <c r="AF205" s="210">
        <f t="shared" si="237"/>
        <v>58154389.894438498</v>
      </c>
      <c r="AG205" s="203">
        <f t="shared" si="238"/>
        <v>0</v>
      </c>
      <c r="AH205" s="204">
        <f t="shared" si="239"/>
        <v>0</v>
      </c>
      <c r="AI205" s="204">
        <f t="shared" si="240"/>
        <v>5489450.1062133349</v>
      </c>
      <c r="AJ205" s="204">
        <f t="shared" si="241"/>
        <v>1097890.021242667</v>
      </c>
      <c r="AK205" s="204">
        <f t="shared" si="242"/>
        <v>0</v>
      </c>
      <c r="AL205" s="204">
        <f t="shared" si="243"/>
        <v>0</v>
      </c>
      <c r="AM205" s="839">
        <f t="shared" si="244"/>
        <v>6587340.1274560019</v>
      </c>
      <c r="AN205" s="203">
        <f t="shared" si="245"/>
        <v>62532812.83385586</v>
      </c>
      <c r="AO205" s="204">
        <f t="shared" si="246"/>
        <v>0</v>
      </c>
      <c r="AP205" s="204">
        <f t="shared" si="247"/>
        <v>31266406.41692793</v>
      </c>
      <c r="AQ205" s="204">
        <f t="shared" si="248"/>
        <v>44140809.059192374</v>
      </c>
      <c r="AR205" s="204">
        <f t="shared" si="249"/>
        <v>1839200.3774663471</v>
      </c>
      <c r="AS205" s="204">
        <f t="shared" si="250"/>
        <v>0</v>
      </c>
      <c r="AT205" s="210">
        <f t="shared" si="251"/>
        <v>139779228.68744251</v>
      </c>
      <c r="AU205" s="222">
        <v>0</v>
      </c>
      <c r="AV205" s="214">
        <f t="shared" si="252"/>
        <v>204.52095870933701</v>
      </c>
      <c r="AW205" s="841">
        <f t="shared" si="253"/>
        <v>3.2931713520456056</v>
      </c>
    </row>
    <row r="206" spans="1:49">
      <c r="A206" s="89">
        <f>'Input data'!A130</f>
        <v>2030</v>
      </c>
      <c r="B206" s="93">
        <f>'Input data'!B130</f>
        <v>65.956090000000003</v>
      </c>
      <c r="C206" s="100">
        <f>'Recycling - Case 3'!E110</f>
        <v>1</v>
      </c>
      <c r="D206" s="471">
        <f>'Recycling - Case 3'!F110</f>
        <v>0.37</v>
      </c>
      <c r="E206" s="203">
        <f t="shared" si="188"/>
        <v>1026574387.2561252</v>
      </c>
      <c r="F206" s="204">
        <v>0</v>
      </c>
      <c r="G206" s="205">
        <f t="shared" si="189"/>
        <v>1026574387.2561252</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23097923.713262819</v>
      </c>
      <c r="AA206" s="204">
        <f t="shared" si="232"/>
        <v>0</v>
      </c>
      <c r="AB206" s="204">
        <f t="shared" si="233"/>
        <v>23097923.713262819</v>
      </c>
      <c r="AC206" s="204">
        <f t="shared" si="234"/>
        <v>12934837.279427182</v>
      </c>
      <c r="AD206" s="204">
        <f t="shared" si="235"/>
        <v>1847833.8970610255</v>
      </c>
      <c r="AE206" s="204">
        <f t="shared" si="236"/>
        <v>0</v>
      </c>
      <c r="AF206" s="210">
        <f t="shared" si="237"/>
        <v>60978518.603013851</v>
      </c>
      <c r="AG206" s="203">
        <f t="shared" si="238"/>
        <v>0</v>
      </c>
      <c r="AH206" s="204">
        <f t="shared" si="239"/>
        <v>0</v>
      </c>
      <c r="AI206" s="204">
        <f t="shared" si="240"/>
        <v>5543501.6911830753</v>
      </c>
      <c r="AJ206" s="204">
        <f t="shared" si="241"/>
        <v>1108700.3382366151</v>
      </c>
      <c r="AK206" s="204">
        <f t="shared" si="242"/>
        <v>0</v>
      </c>
      <c r="AL206" s="204">
        <f t="shared" si="243"/>
        <v>0</v>
      </c>
      <c r="AM206" s="839">
        <f t="shared" si="244"/>
        <v>6652202.0294196904</v>
      </c>
      <c r="AN206" s="203">
        <f t="shared" si="245"/>
        <v>64135234.843826428</v>
      </c>
      <c r="AO206" s="204">
        <f t="shared" si="246"/>
        <v>0</v>
      </c>
      <c r="AP206" s="204">
        <f t="shared" si="247"/>
        <v>32067617.421913214</v>
      </c>
      <c r="AQ206" s="204">
        <f t="shared" si="248"/>
        <v>45271930.47799512</v>
      </c>
      <c r="AR206" s="204">
        <f t="shared" si="249"/>
        <v>1886330.4365831299</v>
      </c>
      <c r="AS206" s="204">
        <f t="shared" si="250"/>
        <v>0</v>
      </c>
      <c r="AT206" s="210">
        <f t="shared" si="251"/>
        <v>143361113.18031791</v>
      </c>
      <c r="AU206" s="222">
        <v>0</v>
      </c>
      <c r="AV206" s="214">
        <f t="shared" si="252"/>
        <v>210.99183381275145</v>
      </c>
      <c r="AW206" s="841">
        <f t="shared" si="253"/>
        <v>3.3255973924888065</v>
      </c>
    </row>
    <row r="207" spans="1:49">
      <c r="A207" s="89">
        <f>'Input data'!A131</f>
        <v>2031</v>
      </c>
      <c r="B207" s="93">
        <f>'Input data'!B131</f>
        <v>66.518977190687664</v>
      </c>
      <c r="C207" s="100">
        <f>'Recycling - Case 3'!E111</f>
        <v>1</v>
      </c>
      <c r="D207" s="471">
        <f>'Recycling - Case 3'!F111</f>
        <v>0.37</v>
      </c>
      <c r="E207" s="203">
        <f t="shared" si="188"/>
        <v>1035335451.9716731</v>
      </c>
      <c r="F207" s="204">
        <v>0</v>
      </c>
      <c r="G207" s="205">
        <f t="shared" si="189"/>
        <v>1035335451.9716731</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23295047.669362649</v>
      </c>
      <c r="AA207" s="204">
        <f t="shared" si="232"/>
        <v>0</v>
      </c>
      <c r="AB207" s="204">
        <f t="shared" si="233"/>
        <v>23295047.669362649</v>
      </c>
      <c r="AC207" s="204">
        <f t="shared" si="234"/>
        <v>13045226.694843085</v>
      </c>
      <c r="AD207" s="204">
        <f t="shared" si="235"/>
        <v>1863603.8135490119</v>
      </c>
      <c r="AE207" s="204">
        <f t="shared" si="236"/>
        <v>0</v>
      </c>
      <c r="AF207" s="210">
        <f t="shared" si="237"/>
        <v>61498925.847117394</v>
      </c>
      <c r="AG207" s="203">
        <f t="shared" si="238"/>
        <v>0</v>
      </c>
      <c r="AH207" s="204">
        <f t="shared" si="239"/>
        <v>0</v>
      </c>
      <c r="AI207" s="204">
        <f t="shared" si="240"/>
        <v>5590811.4406470349</v>
      </c>
      <c r="AJ207" s="204">
        <f t="shared" si="241"/>
        <v>1118162.288129407</v>
      </c>
      <c r="AK207" s="204">
        <f t="shared" si="242"/>
        <v>0</v>
      </c>
      <c r="AL207" s="204">
        <f t="shared" si="243"/>
        <v>0</v>
      </c>
      <c r="AM207" s="839">
        <f t="shared" si="244"/>
        <v>6708973.7287764419</v>
      </c>
      <c r="AN207" s="203">
        <f t="shared" si="245"/>
        <v>64682582.361930281</v>
      </c>
      <c r="AO207" s="204">
        <f t="shared" si="246"/>
        <v>0</v>
      </c>
      <c r="AP207" s="204">
        <f t="shared" si="247"/>
        <v>32341291.18096514</v>
      </c>
      <c r="AQ207" s="204">
        <f t="shared" si="248"/>
        <v>45658293.431950785</v>
      </c>
      <c r="AR207" s="204">
        <f t="shared" si="249"/>
        <v>1902428.8929979494</v>
      </c>
      <c r="AS207" s="204">
        <f t="shared" si="250"/>
        <v>0</v>
      </c>
      <c r="AT207" s="210">
        <f t="shared" si="251"/>
        <v>144584595.86784416</v>
      </c>
      <c r="AU207" s="222">
        <v>0</v>
      </c>
      <c r="AV207" s="214">
        <f t="shared" si="252"/>
        <v>212.79249544373798</v>
      </c>
      <c r="AW207" s="841">
        <f t="shared" si="253"/>
        <v>3.3539789441183268</v>
      </c>
    </row>
    <row r="208" spans="1:49">
      <c r="A208" s="89">
        <f>'Input data'!A132</f>
        <v>2032</v>
      </c>
      <c r="B208" s="93">
        <f>'Input data'!B132</f>
        <v>67.08666821358311</v>
      </c>
      <c r="C208" s="100">
        <f>'Recycling - Case 3'!E112</f>
        <v>1</v>
      </c>
      <c r="D208" s="471">
        <f>'Recycling - Case 3'!F112</f>
        <v>0.37</v>
      </c>
      <c r="E208" s="203">
        <f t="shared" si="188"/>
        <v>1044171285.9936672</v>
      </c>
      <c r="F208" s="204">
        <v>0</v>
      </c>
      <c r="G208" s="205">
        <f t="shared" si="189"/>
        <v>1044171285.9936672</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23493853.934857517</v>
      </c>
      <c r="AA208" s="204">
        <f t="shared" si="232"/>
        <v>0</v>
      </c>
      <c r="AB208" s="204">
        <f t="shared" si="233"/>
        <v>23493853.934857517</v>
      </c>
      <c r="AC208" s="204">
        <f t="shared" si="234"/>
        <v>13156558.20352021</v>
      </c>
      <c r="AD208" s="204">
        <f t="shared" si="235"/>
        <v>1879508.3147886014</v>
      </c>
      <c r="AE208" s="204">
        <f t="shared" si="236"/>
        <v>0</v>
      </c>
      <c r="AF208" s="210">
        <f t="shared" si="237"/>
        <v>62023774.388023846</v>
      </c>
      <c r="AG208" s="203">
        <f t="shared" si="238"/>
        <v>0</v>
      </c>
      <c r="AH208" s="204">
        <f t="shared" si="239"/>
        <v>0</v>
      </c>
      <c r="AI208" s="204">
        <f t="shared" si="240"/>
        <v>5638524.9443658032</v>
      </c>
      <c r="AJ208" s="204">
        <f t="shared" si="241"/>
        <v>1127704.9888731604</v>
      </c>
      <c r="AK208" s="204">
        <f t="shared" si="242"/>
        <v>0</v>
      </c>
      <c r="AL208" s="204">
        <f t="shared" si="243"/>
        <v>0</v>
      </c>
      <c r="AM208" s="839">
        <f t="shared" si="244"/>
        <v>6766229.9332389636</v>
      </c>
      <c r="AN208" s="203">
        <f t="shared" si="245"/>
        <v>65234601.092454359</v>
      </c>
      <c r="AO208" s="204">
        <f t="shared" si="246"/>
        <v>0</v>
      </c>
      <c r="AP208" s="204">
        <f t="shared" si="247"/>
        <v>32617300.546227179</v>
      </c>
      <c r="AQ208" s="204">
        <f t="shared" si="248"/>
        <v>46047953.712320723</v>
      </c>
      <c r="AR208" s="204">
        <f t="shared" si="249"/>
        <v>1918664.7380133634</v>
      </c>
      <c r="AS208" s="204">
        <f t="shared" si="250"/>
        <v>0</v>
      </c>
      <c r="AT208" s="210">
        <f t="shared" si="251"/>
        <v>145818520.0890156</v>
      </c>
      <c r="AU208" s="222">
        <v>0</v>
      </c>
      <c r="AV208" s="214">
        <f t="shared" si="252"/>
        <v>214.60852441027842</v>
      </c>
      <c r="AW208" s="841">
        <f t="shared" si="253"/>
        <v>3.3826027116200144</v>
      </c>
    </row>
    <row r="209" spans="1:49">
      <c r="A209" s="89">
        <f>'Input data'!A133</f>
        <v>2033</v>
      </c>
      <c r="B209" s="93">
        <f>'Input data'!B133</f>
        <v>67.659204065895452</v>
      </c>
      <c r="C209" s="100">
        <f>'Recycling - Case 3'!E113</f>
        <v>1</v>
      </c>
      <c r="D209" s="471">
        <f>'Recycling - Case 3'!F113</f>
        <v>0.37</v>
      </c>
      <c r="E209" s="203">
        <f t="shared" si="188"/>
        <v>1053082527.4236807</v>
      </c>
      <c r="F209" s="204">
        <v>0</v>
      </c>
      <c r="G209" s="205">
        <f t="shared" si="189"/>
        <v>1053082527.4236807</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23694356.867032815</v>
      </c>
      <c r="AA209" s="204">
        <f t="shared" si="232"/>
        <v>0</v>
      </c>
      <c r="AB209" s="204">
        <f t="shared" si="233"/>
        <v>23694356.867032815</v>
      </c>
      <c r="AC209" s="204">
        <f t="shared" si="234"/>
        <v>13268839.84553838</v>
      </c>
      <c r="AD209" s="204">
        <f t="shared" si="235"/>
        <v>1895548.5493626255</v>
      </c>
      <c r="AE209" s="204">
        <f t="shared" si="236"/>
        <v>0</v>
      </c>
      <c r="AF209" s="210">
        <f t="shared" si="237"/>
        <v>62553102.12896663</v>
      </c>
      <c r="AG209" s="203">
        <f t="shared" si="238"/>
        <v>0</v>
      </c>
      <c r="AH209" s="204">
        <f t="shared" si="239"/>
        <v>0</v>
      </c>
      <c r="AI209" s="204">
        <f t="shared" si="240"/>
        <v>5686645.648087875</v>
      </c>
      <c r="AJ209" s="204">
        <f t="shared" si="241"/>
        <v>1137329.1296175751</v>
      </c>
      <c r="AK209" s="204">
        <f t="shared" si="242"/>
        <v>0</v>
      </c>
      <c r="AL209" s="204">
        <f t="shared" si="243"/>
        <v>0</v>
      </c>
      <c r="AM209" s="839">
        <f t="shared" si="244"/>
        <v>6823974.7777054496</v>
      </c>
      <c r="AN209" s="203">
        <f t="shared" si="245"/>
        <v>65791330.900794454</v>
      </c>
      <c r="AO209" s="204">
        <f t="shared" si="246"/>
        <v>0</v>
      </c>
      <c r="AP209" s="204">
        <f t="shared" si="247"/>
        <v>32895665.450397227</v>
      </c>
      <c r="AQ209" s="204">
        <f t="shared" si="248"/>
        <v>46440939.459384315</v>
      </c>
      <c r="AR209" s="204">
        <f t="shared" si="249"/>
        <v>1935039.144141013</v>
      </c>
      <c r="AS209" s="204">
        <f t="shared" si="250"/>
        <v>0</v>
      </c>
      <c r="AT209" s="210">
        <f t="shared" si="251"/>
        <v>147062974.95471701</v>
      </c>
      <c r="AU209" s="222">
        <v>0</v>
      </c>
      <c r="AV209" s="214">
        <f t="shared" si="252"/>
        <v>216.44005186138909</v>
      </c>
      <c r="AW209" s="841">
        <f t="shared" si="253"/>
        <v>3.4114707621299263</v>
      </c>
    </row>
    <row r="210" spans="1:49">
      <c r="A210" s="89">
        <f>'Input data'!A134</f>
        <v>2034</v>
      </c>
      <c r="B210" s="93">
        <f>'Input data'!B134</f>
        <v>68.236626094715163</v>
      </c>
      <c r="C210" s="100">
        <f>'Recycling - Case 3'!E114</f>
        <v>1</v>
      </c>
      <c r="D210" s="471">
        <f>'Recycling - Case 3'!F114</f>
        <v>0.37</v>
      </c>
      <c r="E210" s="203">
        <f t="shared" si="188"/>
        <v>1062069819.8090204</v>
      </c>
      <c r="F210" s="204">
        <v>0</v>
      </c>
      <c r="G210" s="205">
        <f t="shared" si="189"/>
        <v>1062069819.8090204</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23896570.945702963</v>
      </c>
      <c r="AA210" s="204">
        <f t="shared" si="232"/>
        <v>0</v>
      </c>
      <c r="AB210" s="204">
        <f t="shared" si="233"/>
        <v>23896570.945702963</v>
      </c>
      <c r="AC210" s="204">
        <f t="shared" si="234"/>
        <v>13382079.729593663</v>
      </c>
      <c r="AD210" s="204">
        <f t="shared" si="235"/>
        <v>1911725.6756562369</v>
      </c>
      <c r="AE210" s="204">
        <f t="shared" si="236"/>
        <v>0</v>
      </c>
      <c r="AF210" s="210">
        <f t="shared" si="237"/>
        <v>63086947.296655826</v>
      </c>
      <c r="AG210" s="203">
        <f t="shared" si="238"/>
        <v>0</v>
      </c>
      <c r="AH210" s="204">
        <f t="shared" si="239"/>
        <v>0</v>
      </c>
      <c r="AI210" s="204">
        <f t="shared" si="240"/>
        <v>5735177.0269687101</v>
      </c>
      <c r="AJ210" s="204">
        <f t="shared" si="241"/>
        <v>1147035.405393742</v>
      </c>
      <c r="AK210" s="204">
        <f t="shared" si="242"/>
        <v>0</v>
      </c>
      <c r="AL210" s="204">
        <f t="shared" si="243"/>
        <v>0</v>
      </c>
      <c r="AM210" s="839">
        <f t="shared" si="244"/>
        <v>6882212.4323624521</v>
      </c>
      <c r="AN210" s="203">
        <f t="shared" si="245"/>
        <v>66352811.992568552</v>
      </c>
      <c r="AO210" s="204">
        <f t="shared" si="246"/>
        <v>0</v>
      </c>
      <c r="AP210" s="204">
        <f t="shared" si="247"/>
        <v>33176405.996284276</v>
      </c>
      <c r="AQ210" s="204">
        <f t="shared" si="248"/>
        <v>46837279.053577796</v>
      </c>
      <c r="AR210" s="204">
        <f t="shared" si="249"/>
        <v>1951553.2938990749</v>
      </c>
      <c r="AS210" s="204">
        <f t="shared" si="250"/>
        <v>0</v>
      </c>
      <c r="AT210" s="210">
        <f t="shared" si="251"/>
        <v>148318050.33632973</v>
      </c>
      <c r="AU210" s="222">
        <v>0</v>
      </c>
      <c r="AV210" s="214">
        <f t="shared" si="252"/>
        <v>218.28721006534801</v>
      </c>
      <c r="AW210" s="841">
        <f t="shared" si="253"/>
        <v>3.4405851804256198</v>
      </c>
    </row>
    <row r="211" spans="1:49">
      <c r="A211" s="89">
        <f>'Input data'!A135</f>
        <v>2035</v>
      </c>
      <c r="B211" s="93">
        <f>'Input data'!B135</f>
        <v>68.818976000000006</v>
      </c>
      <c r="C211" s="100">
        <f>'Recycling - Case 3'!E115</f>
        <v>1</v>
      </c>
      <c r="D211" s="471">
        <f>'Recycling - Case 3'!F115</f>
        <v>0.37</v>
      </c>
      <c r="E211" s="203">
        <f t="shared" si="188"/>
        <v>1071133812.1892002</v>
      </c>
      <c r="F211" s="204">
        <v>0</v>
      </c>
      <c r="G211" s="205">
        <f t="shared" si="189"/>
        <v>1071133812.1892002</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24100510.774257008</v>
      </c>
      <c r="AA211" s="204">
        <f t="shared" si="232"/>
        <v>0</v>
      </c>
      <c r="AB211" s="204">
        <f t="shared" si="233"/>
        <v>24100510.774257008</v>
      </c>
      <c r="AC211" s="204">
        <f t="shared" si="234"/>
        <v>13496286.033583926</v>
      </c>
      <c r="AD211" s="204">
        <f t="shared" si="235"/>
        <v>1928040.8619405604</v>
      </c>
      <c r="AE211" s="204">
        <f t="shared" si="236"/>
        <v>0</v>
      </c>
      <c r="AF211" s="210">
        <f t="shared" si="237"/>
        <v>63625348.444038503</v>
      </c>
      <c r="AG211" s="203">
        <f t="shared" si="238"/>
        <v>0</v>
      </c>
      <c r="AH211" s="204">
        <f t="shared" si="239"/>
        <v>0</v>
      </c>
      <c r="AI211" s="204">
        <f t="shared" si="240"/>
        <v>5784122.5858216807</v>
      </c>
      <c r="AJ211" s="204">
        <f t="shared" si="241"/>
        <v>1156824.5171643361</v>
      </c>
      <c r="AK211" s="204">
        <f t="shared" si="242"/>
        <v>0</v>
      </c>
      <c r="AL211" s="204">
        <f t="shared" si="243"/>
        <v>0</v>
      </c>
      <c r="AM211" s="839">
        <f t="shared" si="244"/>
        <v>6940947.1029860172</v>
      </c>
      <c r="AN211" s="203">
        <f t="shared" si="245"/>
        <v>66919084.916520275</v>
      </c>
      <c r="AO211" s="204">
        <f t="shared" si="246"/>
        <v>0</v>
      </c>
      <c r="AP211" s="204">
        <f t="shared" si="247"/>
        <v>33459542.458260138</v>
      </c>
      <c r="AQ211" s="204">
        <f t="shared" si="248"/>
        <v>47237001.117543727</v>
      </c>
      <c r="AR211" s="204">
        <f t="shared" si="249"/>
        <v>1968208.3798976552</v>
      </c>
      <c r="AS211" s="204">
        <f t="shared" si="250"/>
        <v>0</v>
      </c>
      <c r="AT211" s="210">
        <f t="shared" si="251"/>
        <v>149583836.8722218</v>
      </c>
      <c r="AU211" s="222">
        <v>0</v>
      </c>
      <c r="AV211" s="214">
        <f t="shared" si="252"/>
        <v>220.15013241924632</v>
      </c>
      <c r="AW211" s="841">
        <f t="shared" si="253"/>
        <v>3.4699480690767106</v>
      </c>
    </row>
    <row r="212" spans="1:49">
      <c r="A212" s="89">
        <f>'Input data'!A136</f>
        <v>2036</v>
      </c>
      <c r="B212" s="93">
        <f>'Input data'!B136</f>
        <v>69.322810489383542</v>
      </c>
      <c r="C212" s="100">
        <f>'Recycling - Case 3'!E116</f>
        <v>1</v>
      </c>
      <c r="D212" s="471">
        <f>'Recycling - Case 3'!F116</f>
        <v>0.37</v>
      </c>
      <c r="E212" s="203">
        <f t="shared" si="188"/>
        <v>1078975750.3971415</v>
      </c>
      <c r="F212" s="204">
        <v>0</v>
      </c>
      <c r="G212" s="205">
        <f t="shared" si="189"/>
        <v>1078975750.3971415</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24276954.383935686</v>
      </c>
      <c r="AA212" s="204">
        <f t="shared" si="232"/>
        <v>0</v>
      </c>
      <c r="AB212" s="204">
        <f t="shared" si="233"/>
        <v>24276954.383935686</v>
      </c>
      <c r="AC212" s="204">
        <f t="shared" si="234"/>
        <v>13595094.455003986</v>
      </c>
      <c r="AD212" s="204">
        <f t="shared" si="235"/>
        <v>1942156.3507148549</v>
      </c>
      <c r="AE212" s="204">
        <f t="shared" si="236"/>
        <v>0</v>
      </c>
      <c r="AF212" s="210">
        <f t="shared" si="237"/>
        <v>64091159.573590212</v>
      </c>
      <c r="AG212" s="203">
        <f t="shared" si="238"/>
        <v>0</v>
      </c>
      <c r="AH212" s="204">
        <f t="shared" si="239"/>
        <v>0</v>
      </c>
      <c r="AI212" s="204">
        <f t="shared" si="240"/>
        <v>5826469.0521445638</v>
      </c>
      <c r="AJ212" s="204">
        <f t="shared" si="241"/>
        <v>1165293.8104289128</v>
      </c>
      <c r="AK212" s="204">
        <f t="shared" si="242"/>
        <v>0</v>
      </c>
      <c r="AL212" s="204">
        <f t="shared" si="243"/>
        <v>0</v>
      </c>
      <c r="AM212" s="839">
        <f t="shared" si="244"/>
        <v>6991762.8625734765</v>
      </c>
      <c r="AN212" s="203">
        <f t="shared" si="245"/>
        <v>67409010.00606142</v>
      </c>
      <c r="AO212" s="204">
        <f t="shared" si="246"/>
        <v>0</v>
      </c>
      <c r="AP212" s="204">
        <f t="shared" si="247"/>
        <v>33704505.00303071</v>
      </c>
      <c r="AQ212" s="204">
        <f t="shared" si="248"/>
        <v>47582830.592513934</v>
      </c>
      <c r="AR212" s="204">
        <f t="shared" si="249"/>
        <v>1982617.9413547474</v>
      </c>
      <c r="AS212" s="204">
        <f t="shared" si="250"/>
        <v>0</v>
      </c>
      <c r="AT212" s="210">
        <f t="shared" si="251"/>
        <v>150678963.54296082</v>
      </c>
      <c r="AU212" s="222">
        <v>0</v>
      </c>
      <c r="AV212" s="214">
        <f t="shared" si="252"/>
        <v>221.76188597912451</v>
      </c>
      <c r="AW212" s="841">
        <f t="shared" si="253"/>
        <v>3.4953521017314642</v>
      </c>
    </row>
    <row r="213" spans="1:49">
      <c r="A213" s="89">
        <f>'Input data'!A137</f>
        <v>2037</v>
      </c>
      <c r="B213" s="93">
        <f>'Input data'!B137</f>
        <v>69.830333629884052</v>
      </c>
      <c r="C213" s="100">
        <f>'Recycling - Case 3'!E117</f>
        <v>1</v>
      </c>
      <c r="D213" s="471">
        <f>'Recycling - Case 3'!F117</f>
        <v>0.37</v>
      </c>
      <c r="E213" s="203">
        <f t="shared" si="188"/>
        <v>1086875100.6615009</v>
      </c>
      <c r="F213" s="204">
        <v>0</v>
      </c>
      <c r="G213" s="205">
        <f t="shared" si="189"/>
        <v>1086875100.6615009</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24454689.764883772</v>
      </c>
      <c r="AA213" s="204">
        <f t="shared" si="232"/>
        <v>0</v>
      </c>
      <c r="AB213" s="204">
        <f t="shared" si="233"/>
        <v>24454689.764883772</v>
      </c>
      <c r="AC213" s="204">
        <f t="shared" si="234"/>
        <v>13694626.268334916</v>
      </c>
      <c r="AD213" s="204">
        <f t="shared" si="235"/>
        <v>1956375.1811907019</v>
      </c>
      <c r="AE213" s="204">
        <f t="shared" si="236"/>
        <v>0</v>
      </c>
      <c r="AF213" s="210">
        <f t="shared" si="237"/>
        <v>64560380.97929316</v>
      </c>
      <c r="AG213" s="203">
        <f t="shared" si="238"/>
        <v>0</v>
      </c>
      <c r="AH213" s="204">
        <f t="shared" si="239"/>
        <v>0</v>
      </c>
      <c r="AI213" s="204">
        <f t="shared" si="240"/>
        <v>5869125.5435721045</v>
      </c>
      <c r="AJ213" s="204">
        <f t="shared" si="241"/>
        <v>1173825.1087144208</v>
      </c>
      <c r="AK213" s="204">
        <f t="shared" si="242"/>
        <v>0</v>
      </c>
      <c r="AL213" s="204">
        <f t="shared" si="243"/>
        <v>0</v>
      </c>
      <c r="AM213" s="839">
        <f t="shared" si="244"/>
        <v>7042950.6522865258</v>
      </c>
      <c r="AN213" s="203">
        <f t="shared" si="245"/>
        <v>67902521.91382727</v>
      </c>
      <c r="AO213" s="204">
        <f t="shared" si="246"/>
        <v>0</v>
      </c>
      <c r="AP213" s="204">
        <f t="shared" si="247"/>
        <v>33951260.956913635</v>
      </c>
      <c r="AQ213" s="204">
        <f t="shared" si="248"/>
        <v>47931191.939172193</v>
      </c>
      <c r="AR213" s="204">
        <f t="shared" si="249"/>
        <v>1997132.9974655078</v>
      </c>
      <c r="AS213" s="204">
        <f t="shared" si="250"/>
        <v>0</v>
      </c>
      <c r="AT213" s="210">
        <f t="shared" si="251"/>
        <v>151782107.80737862</v>
      </c>
      <c r="AU213" s="222">
        <v>0</v>
      </c>
      <c r="AV213" s="214">
        <f t="shared" si="252"/>
        <v>223.38543943895829</v>
      </c>
      <c r="AW213" s="841">
        <f t="shared" si="253"/>
        <v>3.5209421212835057</v>
      </c>
    </row>
    <row r="214" spans="1:49">
      <c r="A214" s="89">
        <f>'Input data'!A138</f>
        <v>2038</v>
      </c>
      <c r="B214" s="93">
        <f>'Input data'!B138</f>
        <v>70.341572426693446</v>
      </c>
      <c r="C214" s="100">
        <f>'Recycling - Case 3'!E118</f>
        <v>1</v>
      </c>
      <c r="D214" s="471">
        <f>'Recycling - Case 3'!F118</f>
        <v>0.37</v>
      </c>
      <c r="E214" s="203">
        <f t="shared" si="188"/>
        <v>1094832283.3049257</v>
      </c>
      <c r="F214" s="204">
        <v>0</v>
      </c>
      <c r="G214" s="205">
        <f t="shared" si="189"/>
        <v>1094832283.3049257</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24633726.37436083</v>
      </c>
      <c r="AA214" s="204">
        <f t="shared" si="232"/>
        <v>0</v>
      </c>
      <c r="AB214" s="204">
        <f t="shared" si="233"/>
        <v>24633726.37436083</v>
      </c>
      <c r="AC214" s="204">
        <f t="shared" si="234"/>
        <v>13794886.769642066</v>
      </c>
      <c r="AD214" s="204">
        <f t="shared" si="235"/>
        <v>1970698.1099488665</v>
      </c>
      <c r="AE214" s="204">
        <f t="shared" si="236"/>
        <v>0</v>
      </c>
      <c r="AF214" s="210">
        <f t="shared" si="237"/>
        <v>65033037.628312595</v>
      </c>
      <c r="AG214" s="203">
        <f t="shared" si="238"/>
        <v>0</v>
      </c>
      <c r="AH214" s="204">
        <f t="shared" si="239"/>
        <v>0</v>
      </c>
      <c r="AI214" s="204">
        <f t="shared" si="240"/>
        <v>5912094.3298465982</v>
      </c>
      <c r="AJ214" s="204">
        <f t="shared" si="241"/>
        <v>1182418.8659693196</v>
      </c>
      <c r="AK214" s="204">
        <f t="shared" si="242"/>
        <v>0</v>
      </c>
      <c r="AL214" s="204">
        <f t="shared" si="243"/>
        <v>0</v>
      </c>
      <c r="AM214" s="839">
        <f t="shared" si="244"/>
        <v>7094513.195815918</v>
      </c>
      <c r="AN214" s="203">
        <f t="shared" si="245"/>
        <v>68399646.899475232</v>
      </c>
      <c r="AO214" s="204">
        <f t="shared" si="246"/>
        <v>0</v>
      </c>
      <c r="AP214" s="204">
        <f t="shared" si="247"/>
        <v>34199823.449737616</v>
      </c>
      <c r="AQ214" s="204">
        <f t="shared" si="248"/>
        <v>48282103.693747215</v>
      </c>
      <c r="AR214" s="204">
        <f t="shared" si="249"/>
        <v>2011754.3205728009</v>
      </c>
      <c r="AS214" s="204">
        <f t="shared" si="250"/>
        <v>0</v>
      </c>
      <c r="AT214" s="210">
        <f t="shared" si="251"/>
        <v>152893328.36353287</v>
      </c>
      <c r="AU214" s="222">
        <v>0</v>
      </c>
      <c r="AV214" s="214">
        <f t="shared" si="252"/>
        <v>225.02087918766139</v>
      </c>
      <c r="AW214" s="841">
        <f t="shared" si="253"/>
        <v>3.5467194893720086</v>
      </c>
    </row>
    <row r="215" spans="1:49">
      <c r="A215" s="89">
        <f>'Input data'!A139</f>
        <v>2039</v>
      </c>
      <c r="B215" s="93">
        <f>'Input data'!B139</f>
        <v>70.856554082712819</v>
      </c>
      <c r="C215" s="100">
        <f>'Recycling - Case 3'!E119</f>
        <v>1</v>
      </c>
      <c r="D215" s="471">
        <f>'Recycling - Case 3'!F119</f>
        <v>0.37</v>
      </c>
      <c r="E215" s="203">
        <f t="shared" si="188"/>
        <v>1102847721.7273097</v>
      </c>
      <c r="F215" s="204">
        <v>0</v>
      </c>
      <c r="G215" s="205">
        <f t="shared" si="189"/>
        <v>1102847721.7273097</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24814073.73886447</v>
      </c>
      <c r="AA215" s="204">
        <f t="shared" si="232"/>
        <v>0</v>
      </c>
      <c r="AB215" s="204">
        <f t="shared" si="233"/>
        <v>24814073.73886447</v>
      </c>
      <c r="AC215" s="204">
        <f t="shared" si="234"/>
        <v>13895881.293764105</v>
      </c>
      <c r="AD215" s="204">
        <f t="shared" si="235"/>
        <v>1985125.8991091577</v>
      </c>
      <c r="AE215" s="204">
        <f t="shared" si="236"/>
        <v>0</v>
      </c>
      <c r="AF215" s="210">
        <f t="shared" si="237"/>
        <v>65509154.670602202</v>
      </c>
      <c r="AG215" s="203">
        <f t="shared" si="238"/>
        <v>0</v>
      </c>
      <c r="AH215" s="204">
        <f t="shared" si="239"/>
        <v>0</v>
      </c>
      <c r="AI215" s="204">
        <f t="shared" si="240"/>
        <v>5955377.6973274713</v>
      </c>
      <c r="AJ215" s="204">
        <f t="shared" si="241"/>
        <v>1191075.5394654942</v>
      </c>
      <c r="AK215" s="204">
        <f t="shared" si="242"/>
        <v>0</v>
      </c>
      <c r="AL215" s="204">
        <f t="shared" si="243"/>
        <v>0</v>
      </c>
      <c r="AM215" s="839">
        <f t="shared" si="244"/>
        <v>7146453.2367929658</v>
      </c>
      <c r="AN215" s="203">
        <f t="shared" si="245"/>
        <v>68900411.414913669</v>
      </c>
      <c r="AO215" s="204">
        <f t="shared" si="246"/>
        <v>0</v>
      </c>
      <c r="AP215" s="204">
        <f t="shared" si="247"/>
        <v>34450205.707456835</v>
      </c>
      <c r="AQ215" s="204">
        <f t="shared" si="248"/>
        <v>48635584.528174356</v>
      </c>
      <c r="AR215" s="204">
        <f t="shared" si="249"/>
        <v>2026482.6886739314</v>
      </c>
      <c r="AS215" s="204">
        <f t="shared" si="250"/>
        <v>0</v>
      </c>
      <c r="AT215" s="210">
        <f t="shared" si="251"/>
        <v>154012684.33921883</v>
      </c>
      <c r="AU215" s="222">
        <v>0</v>
      </c>
      <c r="AV215" s="214">
        <f t="shared" si="252"/>
        <v>226.66829224661399</v>
      </c>
      <c r="AW215" s="841">
        <f t="shared" si="253"/>
        <v>3.5726855776049167</v>
      </c>
    </row>
    <row r="216" spans="1:49">
      <c r="A216" s="89">
        <f>'Input data'!A140</f>
        <v>2040</v>
      </c>
      <c r="B216" s="93">
        <f>'Input data'!B140</f>
        <v>71.375305999999995</v>
      </c>
      <c r="C216" s="100">
        <f>'Recycling - Case 3'!E120</f>
        <v>1</v>
      </c>
      <c r="D216" s="471">
        <f>'Recycling - Case 3'!F120</f>
        <v>0.37</v>
      </c>
      <c r="E216" s="203">
        <f t="shared" si="188"/>
        <v>1110921842.4283249</v>
      </c>
      <c r="F216" s="204">
        <v>0</v>
      </c>
      <c r="G216" s="205">
        <f t="shared" si="189"/>
        <v>1110921842.4283249</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24995741.454637315</v>
      </c>
      <c r="AA216" s="204">
        <f t="shared" si="232"/>
        <v>0</v>
      </c>
      <c r="AB216" s="204">
        <f t="shared" si="233"/>
        <v>24995741.454637315</v>
      </c>
      <c r="AC216" s="204">
        <f t="shared" si="234"/>
        <v>13997615.214596899</v>
      </c>
      <c r="AD216" s="204">
        <f t="shared" si="235"/>
        <v>1999659.316370985</v>
      </c>
      <c r="AE216" s="204">
        <f t="shared" si="236"/>
        <v>0</v>
      </c>
      <c r="AF216" s="210">
        <f t="shared" si="237"/>
        <v>65988757.440242514</v>
      </c>
      <c r="AG216" s="203">
        <f t="shared" si="238"/>
        <v>0</v>
      </c>
      <c r="AH216" s="204">
        <f t="shared" si="239"/>
        <v>0</v>
      </c>
      <c r="AI216" s="204">
        <f t="shared" si="240"/>
        <v>5998977.9491129545</v>
      </c>
      <c r="AJ216" s="204">
        <f t="shared" si="241"/>
        <v>1199795.5898225908</v>
      </c>
      <c r="AK216" s="204">
        <f t="shared" si="242"/>
        <v>0</v>
      </c>
      <c r="AL216" s="204">
        <f t="shared" si="243"/>
        <v>0</v>
      </c>
      <c r="AM216" s="839">
        <f t="shared" si="244"/>
        <v>7198773.5389355458</v>
      </c>
      <c r="AN216" s="203">
        <f t="shared" si="245"/>
        <v>69404842.105709597</v>
      </c>
      <c r="AO216" s="204">
        <f t="shared" si="246"/>
        <v>0</v>
      </c>
      <c r="AP216" s="204">
        <f t="shared" si="247"/>
        <v>34702421.052854799</v>
      </c>
      <c r="AQ216" s="204">
        <f t="shared" si="248"/>
        <v>48991653.251089126</v>
      </c>
      <c r="AR216" s="204">
        <f t="shared" si="249"/>
        <v>2041318.8854620468</v>
      </c>
      <c r="AS216" s="204">
        <f t="shared" si="250"/>
        <v>0</v>
      </c>
      <c r="AT216" s="210">
        <f t="shared" si="251"/>
        <v>155140235.29511556</v>
      </c>
      <c r="AU216" s="222">
        <v>0</v>
      </c>
      <c r="AV216" s="214">
        <f t="shared" si="252"/>
        <v>228.32776627429359</v>
      </c>
      <c r="AW216" s="841">
        <f t="shared" si="253"/>
        <v>3.5988417676319293</v>
      </c>
    </row>
    <row r="217" spans="1:49">
      <c r="A217" s="89">
        <f>'Input data'!A141</f>
        <v>2041</v>
      </c>
      <c r="B217" s="93">
        <f>'Input data'!B141</f>
        <v>71.818612994947316</v>
      </c>
      <c r="C217" s="100">
        <f>'Recycling - Case 3'!E121</f>
        <v>1</v>
      </c>
      <c r="D217" s="471">
        <f>'Recycling - Case 3'!F121</f>
        <v>0.37</v>
      </c>
      <c r="E217" s="203">
        <f t="shared" si="188"/>
        <v>1117821699.6925201</v>
      </c>
      <c r="F217" s="204">
        <v>0</v>
      </c>
      <c r="G217" s="205">
        <f t="shared" si="189"/>
        <v>1117821699.6925201</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25150988.243081704</v>
      </c>
      <c r="AA217" s="204">
        <f t="shared" si="232"/>
        <v>0</v>
      </c>
      <c r="AB217" s="204">
        <f t="shared" si="233"/>
        <v>25150988.243081704</v>
      </c>
      <c r="AC217" s="204">
        <f t="shared" si="234"/>
        <v>14084553.416125758</v>
      </c>
      <c r="AD217" s="204">
        <f t="shared" si="235"/>
        <v>2012079.0594465365</v>
      </c>
      <c r="AE217" s="204">
        <f t="shared" si="236"/>
        <v>0</v>
      </c>
      <c r="AF217" s="210">
        <f t="shared" si="237"/>
        <v>66398608.961735703</v>
      </c>
      <c r="AG217" s="203">
        <f t="shared" si="238"/>
        <v>0</v>
      </c>
      <c r="AH217" s="204">
        <f t="shared" si="239"/>
        <v>0</v>
      </c>
      <c r="AI217" s="204">
        <f t="shared" si="240"/>
        <v>6036237.1783396089</v>
      </c>
      <c r="AJ217" s="204">
        <f t="shared" si="241"/>
        <v>1207247.4356679216</v>
      </c>
      <c r="AK217" s="204">
        <f t="shared" si="242"/>
        <v>0</v>
      </c>
      <c r="AL217" s="204">
        <f t="shared" si="243"/>
        <v>0</v>
      </c>
      <c r="AM217" s="839">
        <f t="shared" si="244"/>
        <v>7243484.6140075307</v>
      </c>
      <c r="AN217" s="203">
        <f t="shared" si="245"/>
        <v>69835910.688290194</v>
      </c>
      <c r="AO217" s="204">
        <f t="shared" si="246"/>
        <v>0</v>
      </c>
      <c r="AP217" s="204">
        <f t="shared" si="247"/>
        <v>34917955.344145097</v>
      </c>
      <c r="AQ217" s="204">
        <f t="shared" si="248"/>
        <v>49295936.956440136</v>
      </c>
      <c r="AR217" s="204">
        <f t="shared" si="249"/>
        <v>2053997.3731850057</v>
      </c>
      <c r="AS217" s="204">
        <f t="shared" si="250"/>
        <v>0</v>
      </c>
      <c r="AT217" s="210">
        <f t="shared" si="251"/>
        <v>156103800.36206046</v>
      </c>
      <c r="AU217" s="222">
        <v>0</v>
      </c>
      <c r="AV217" s="214">
        <f t="shared" si="252"/>
        <v>229.74589393780369</v>
      </c>
      <c r="AW217" s="841">
        <f t="shared" si="253"/>
        <v>3.6211939201999317</v>
      </c>
    </row>
    <row r="218" spans="1:49">
      <c r="A218" s="89">
        <f>'Input data'!A142</f>
        <v>2042</v>
      </c>
      <c r="B218" s="93">
        <f>'Input data'!B142</f>
        <v>72.264673338395411</v>
      </c>
      <c r="C218" s="100">
        <f>'Recycling - Case 3'!E122</f>
        <v>1</v>
      </c>
      <c r="D218" s="471">
        <f>'Recycling - Case 3'!F122</f>
        <v>0.37</v>
      </c>
      <c r="E218" s="203">
        <f t="shared" si="188"/>
        <v>1124764411.4838722</v>
      </c>
      <c r="F218" s="204">
        <v>0</v>
      </c>
      <c r="G218" s="205">
        <f t="shared" si="189"/>
        <v>1124764411.4838722</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25307199.258387126</v>
      </c>
      <c r="AA218" s="204">
        <f t="shared" si="232"/>
        <v>0</v>
      </c>
      <c r="AB218" s="204">
        <f t="shared" si="233"/>
        <v>25307199.258387126</v>
      </c>
      <c r="AC218" s="204">
        <f t="shared" si="234"/>
        <v>14172031.584696794</v>
      </c>
      <c r="AD218" s="204">
        <f t="shared" si="235"/>
        <v>2024575.9406709701</v>
      </c>
      <c r="AE218" s="204">
        <f t="shared" si="236"/>
        <v>0</v>
      </c>
      <c r="AF218" s="210">
        <f t="shared" si="237"/>
        <v>66811006.042142011</v>
      </c>
      <c r="AG218" s="203">
        <f t="shared" si="238"/>
        <v>0</v>
      </c>
      <c r="AH218" s="204">
        <f t="shared" si="239"/>
        <v>0</v>
      </c>
      <c r="AI218" s="204">
        <f t="shared" si="240"/>
        <v>6073727.8220129088</v>
      </c>
      <c r="AJ218" s="204">
        <f t="shared" si="241"/>
        <v>1214745.5644025819</v>
      </c>
      <c r="AK218" s="204">
        <f t="shared" si="242"/>
        <v>0</v>
      </c>
      <c r="AL218" s="204">
        <f t="shared" si="243"/>
        <v>0</v>
      </c>
      <c r="AM218" s="839">
        <f t="shared" si="244"/>
        <v>7288473.3864154909</v>
      </c>
      <c r="AN218" s="203">
        <f t="shared" si="245"/>
        <v>70269656.607454911</v>
      </c>
      <c r="AO218" s="204">
        <f t="shared" si="246"/>
        <v>0</v>
      </c>
      <c r="AP218" s="204">
        <f t="shared" si="247"/>
        <v>35134828.303727455</v>
      </c>
      <c r="AQ218" s="204">
        <f t="shared" si="248"/>
        <v>49602110.546438761</v>
      </c>
      <c r="AR218" s="204">
        <f t="shared" si="249"/>
        <v>2066754.6061016151</v>
      </c>
      <c r="AS218" s="204">
        <f t="shared" si="250"/>
        <v>0</v>
      </c>
      <c r="AT218" s="210">
        <f t="shared" si="251"/>
        <v>157073350.06372273</v>
      </c>
      <c r="AU218" s="222">
        <v>0</v>
      </c>
      <c r="AV218" s="214">
        <f t="shared" si="252"/>
        <v>231.17282949228024</v>
      </c>
      <c r="AW218" s="841">
        <f t="shared" si="253"/>
        <v>3.6436849004121257</v>
      </c>
    </row>
    <row r="219" spans="1:49">
      <c r="A219" s="89">
        <f>'Input data'!A143</f>
        <v>2043</v>
      </c>
      <c r="B219" s="93">
        <f>'Input data'!B143</f>
        <v>72.713504131197794</v>
      </c>
      <c r="C219" s="100">
        <f>'Recycling - Case 3'!E123</f>
        <v>1</v>
      </c>
      <c r="D219" s="471">
        <f>'Recycling - Case 3'!F123</f>
        <v>0.37</v>
      </c>
      <c r="E219" s="203">
        <f t="shared" si="188"/>
        <v>1131750243.9688299</v>
      </c>
      <c r="F219" s="204">
        <v>0</v>
      </c>
      <c r="G219" s="205">
        <f t="shared" si="189"/>
        <v>1131750243.9688299</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25464380.489298675</v>
      </c>
      <c r="AA219" s="204">
        <f t="shared" si="232"/>
        <v>0</v>
      </c>
      <c r="AB219" s="204">
        <f t="shared" si="233"/>
        <v>25464380.489298675</v>
      </c>
      <c r="AC219" s="204">
        <f t="shared" si="234"/>
        <v>14260053.074007262</v>
      </c>
      <c r="AD219" s="204">
        <f t="shared" si="235"/>
        <v>2037150.439143894</v>
      </c>
      <c r="AE219" s="204">
        <f t="shared" si="236"/>
        <v>0</v>
      </c>
      <c r="AF219" s="210">
        <f t="shared" si="237"/>
        <v>67225964.491748512</v>
      </c>
      <c r="AG219" s="203">
        <f t="shared" si="238"/>
        <v>0</v>
      </c>
      <c r="AH219" s="204">
        <f t="shared" si="239"/>
        <v>0</v>
      </c>
      <c r="AI219" s="204">
        <f t="shared" si="240"/>
        <v>6111451.3174316809</v>
      </c>
      <c r="AJ219" s="204">
        <f t="shared" si="241"/>
        <v>1222290.263486336</v>
      </c>
      <c r="AK219" s="204">
        <f t="shared" si="242"/>
        <v>0</v>
      </c>
      <c r="AL219" s="204">
        <f t="shared" si="243"/>
        <v>0</v>
      </c>
      <c r="AM219" s="839">
        <f t="shared" si="244"/>
        <v>7333741.5809180168</v>
      </c>
      <c r="AN219" s="203">
        <f t="shared" si="245"/>
        <v>70706096.491952643</v>
      </c>
      <c r="AO219" s="204">
        <f t="shared" si="246"/>
        <v>0</v>
      </c>
      <c r="AP219" s="204">
        <f t="shared" si="247"/>
        <v>35353048.245976321</v>
      </c>
      <c r="AQ219" s="204">
        <f t="shared" si="248"/>
        <v>49910185.759025395</v>
      </c>
      <c r="AR219" s="204">
        <f t="shared" si="249"/>
        <v>2079591.0732927246</v>
      </c>
      <c r="AS219" s="204">
        <f t="shared" si="250"/>
        <v>0</v>
      </c>
      <c r="AT219" s="210">
        <f t="shared" si="251"/>
        <v>158048921.57024708</v>
      </c>
      <c r="AU219" s="222">
        <v>0</v>
      </c>
      <c r="AV219" s="214">
        <f t="shared" si="252"/>
        <v>232.6086276429136</v>
      </c>
      <c r="AW219" s="841">
        <f t="shared" si="253"/>
        <v>3.666315570517225</v>
      </c>
    </row>
    <row r="220" spans="1:49">
      <c r="A220" s="89">
        <f>'Input data'!A144</f>
        <v>2044</v>
      </c>
      <c r="B220" s="93">
        <f>'Input data'!B144</f>
        <v>73.165122580420132</v>
      </c>
      <c r="C220" s="100">
        <f>'Recycling - Case 3'!E124</f>
        <v>1</v>
      </c>
      <c r="D220" s="471">
        <f>'Recycling - Case 3'!F124</f>
        <v>0.37</v>
      </c>
      <c r="E220" s="203">
        <f t="shared" si="188"/>
        <v>1138779464.9669816</v>
      </c>
      <c r="F220" s="204">
        <v>0</v>
      </c>
      <c r="G220" s="205">
        <f t="shared" si="189"/>
        <v>1138779464.9669816</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25622537.96175709</v>
      </c>
      <c r="AA220" s="204">
        <f t="shared" ref="AA220:AA226" si="274">I220*$C$36*G220*$C$10</f>
        <v>0</v>
      </c>
      <c r="AB220" s="204">
        <f t="shared" ref="AB220:AB226" si="275">J220*$C$37*G220*$C$10</f>
        <v>25622537.96175709</v>
      </c>
      <c r="AC220" s="204">
        <f t="shared" ref="AC220:AC226" si="276">K220*$C$40*G220*$C$10</f>
        <v>14348621.258583972</v>
      </c>
      <c r="AD220" s="204">
        <f t="shared" ref="AD220:AD226" si="277">L220*$C$41*G220*$C$10</f>
        <v>2049803.0369405674</v>
      </c>
      <c r="AE220" s="204">
        <f t="shared" ref="AE220:AE226" si="278">M220*$C$42*G220*$C$10</f>
        <v>0</v>
      </c>
      <c r="AF220" s="210">
        <f t="shared" ref="AF220:AF226" si="279">SUM(Z220:AE220)</f>
        <v>67643500.219038725</v>
      </c>
      <c r="AG220" s="203">
        <f t="shared" ref="AG220:AG226" si="280">N220*$C$35*G220*$C$11</f>
        <v>0</v>
      </c>
      <c r="AH220" s="204">
        <f t="shared" ref="AH220:AH226" si="281">O220*$C$36*G220*$C$11</f>
        <v>0</v>
      </c>
      <c r="AI220" s="204">
        <f t="shared" ref="AI220:AI226" si="282">P220*$C$37*G220*$C$11</f>
        <v>6149409.1108217007</v>
      </c>
      <c r="AJ220" s="204">
        <f t="shared" ref="AJ220:AJ226" si="283">Q220*$C$38*G220*$C$11</f>
        <v>1229881.8221643399</v>
      </c>
      <c r="AK220" s="204">
        <f t="shared" ref="AK220:AK226" si="284">R220*$C$41*G220*$C$11</f>
        <v>0</v>
      </c>
      <c r="AL220" s="204">
        <f t="shared" ref="AL220:AL226" si="285">S220*$C$42*G220*$C$11</f>
        <v>0</v>
      </c>
      <c r="AM220" s="839">
        <f t="shared" ref="AM220:AM226" si="286">SUM(AG220:AL220)</f>
        <v>7379290.9329860406</v>
      </c>
      <c r="AN220" s="203">
        <f t="shared" ref="AN220:AN226" si="287">T220*$C$35*G220*$C$12</f>
        <v>71145247.073812187</v>
      </c>
      <c r="AO220" s="204">
        <f t="shared" ref="AO220:AO226" si="288">U220*$C$36*G220*$C$12</f>
        <v>0</v>
      </c>
      <c r="AP220" s="204">
        <f t="shared" ref="AP220:AP226" si="289">V220*$C$37*G220*$C$12</f>
        <v>35572623.536906093</v>
      </c>
      <c r="AQ220" s="204">
        <f t="shared" ref="AQ220:AQ226" si="290">W220*$C$39*G220*$C$12</f>
        <v>50220174.405043885</v>
      </c>
      <c r="AR220" s="204">
        <f t="shared" ref="AR220:AR226" si="291">X220*$C$41*G220*$C$12</f>
        <v>2092507.2668768286</v>
      </c>
      <c r="AS220" s="204">
        <f t="shared" ref="AS220:AS226" si="292">Y220*$C$42*N220*$C$12</f>
        <v>0</v>
      </c>
      <c r="AT220" s="210">
        <f t="shared" ref="AT220:AT226" si="293">SUM(AN220:AS220)</f>
        <v>159030552.28263897</v>
      </c>
      <c r="AU220" s="222">
        <v>0</v>
      </c>
      <c r="AV220" s="214">
        <f t="shared" ref="AV220:AV226" si="294">(AF220+AM220+AT220)/10^6-AU220</f>
        <v>234.0533434346637</v>
      </c>
      <c r="AW220" s="841">
        <f t="shared" ref="AW220:AW226" si="295">((B220*$C$46*$C$47*$C$48*$C$49)-$C$50)*$C$51*$C$52</f>
        <v>3.6890867981193103</v>
      </c>
    </row>
    <row r="221" spans="1:49">
      <c r="A221" s="89">
        <f>'Input data'!A145</f>
        <v>2045</v>
      </c>
      <c r="B221" s="93">
        <f>'Input data'!B145</f>
        <v>73.619545999999971</v>
      </c>
      <c r="C221" s="100">
        <f>'Recycling - Case 3'!E125</f>
        <v>1</v>
      </c>
      <c r="D221" s="471">
        <f>'Recycling - Case 3'!F125</f>
        <v>0.37</v>
      </c>
      <c r="E221" s="203">
        <f t="shared" si="188"/>
        <v>1145852343.9613247</v>
      </c>
      <c r="F221" s="204">
        <v>0</v>
      </c>
      <c r="G221" s="205">
        <f t="shared" si="189"/>
        <v>1145852343.9613247</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25781677.739129808</v>
      </c>
      <c r="AA221" s="204">
        <f t="shared" si="274"/>
        <v>0</v>
      </c>
      <c r="AB221" s="204">
        <f t="shared" si="275"/>
        <v>25781677.739129808</v>
      </c>
      <c r="AC221" s="204">
        <f t="shared" si="276"/>
        <v>14437739.533912696</v>
      </c>
      <c r="AD221" s="204">
        <f t="shared" si="277"/>
        <v>2062534.2191303847</v>
      </c>
      <c r="AE221" s="204">
        <f t="shared" si="278"/>
        <v>0</v>
      </c>
      <c r="AF221" s="210">
        <f t="shared" si="279"/>
        <v>68063629.231302693</v>
      </c>
      <c r="AG221" s="203">
        <f t="shared" si="280"/>
        <v>0</v>
      </c>
      <c r="AH221" s="204">
        <f t="shared" si="281"/>
        <v>0</v>
      </c>
      <c r="AI221" s="204">
        <f t="shared" si="282"/>
        <v>6187602.6573911523</v>
      </c>
      <c r="AJ221" s="204">
        <f t="shared" si="283"/>
        <v>1237520.5314782304</v>
      </c>
      <c r="AK221" s="204">
        <f t="shared" si="284"/>
        <v>0</v>
      </c>
      <c r="AL221" s="204">
        <f t="shared" si="285"/>
        <v>0</v>
      </c>
      <c r="AM221" s="839">
        <f t="shared" si="286"/>
        <v>7425123.1888693832</v>
      </c>
      <c r="AN221" s="203">
        <f t="shared" si="287"/>
        <v>71587125.188983753</v>
      </c>
      <c r="AO221" s="204">
        <f t="shared" si="288"/>
        <v>0</v>
      </c>
      <c r="AP221" s="204">
        <f t="shared" si="289"/>
        <v>35793562.594491877</v>
      </c>
      <c r="AQ221" s="204">
        <f t="shared" si="290"/>
        <v>50532088.368694417</v>
      </c>
      <c r="AR221" s="204">
        <f t="shared" si="291"/>
        <v>2105503.6820289339</v>
      </c>
      <c r="AS221" s="204">
        <f t="shared" si="292"/>
        <v>0</v>
      </c>
      <c r="AT221" s="210">
        <f t="shared" si="293"/>
        <v>160018279.83419898</v>
      </c>
      <c r="AU221" s="222">
        <v>0</v>
      </c>
      <c r="AV221" s="214">
        <f t="shared" si="294"/>
        <v>235.50703225437104</v>
      </c>
      <c r="AW221" s="841">
        <f t="shared" si="295"/>
        <v>3.711999456211089</v>
      </c>
    </row>
    <row r="222" spans="1:49">
      <c r="A222" s="89">
        <f>'Input data'!A146</f>
        <v>2046</v>
      </c>
      <c r="B222" s="93">
        <f>'Input data'!B146</f>
        <v>73.995362001779526</v>
      </c>
      <c r="C222" s="100">
        <f>'Recycling - Case 3'!E126</f>
        <v>1</v>
      </c>
      <c r="D222" s="471">
        <f>'Recycling - Case 3'!F126</f>
        <v>0.37</v>
      </c>
      <c r="E222" s="203">
        <f t="shared" si="188"/>
        <v>1151701736.8187225</v>
      </c>
      <c r="F222" s="204">
        <v>0</v>
      </c>
      <c r="G222" s="205">
        <f t="shared" si="189"/>
        <v>1151701736.8187225</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25913289.078421257</v>
      </c>
      <c r="AA222" s="204">
        <f t="shared" si="274"/>
        <v>0</v>
      </c>
      <c r="AB222" s="204">
        <f t="shared" si="275"/>
        <v>25913289.078421257</v>
      </c>
      <c r="AC222" s="204">
        <f t="shared" si="276"/>
        <v>14511441.883915907</v>
      </c>
      <c r="AD222" s="204">
        <f t="shared" si="277"/>
        <v>2073063.1262737007</v>
      </c>
      <c r="AE222" s="204">
        <f t="shared" si="278"/>
        <v>0</v>
      </c>
      <c r="AF222" s="210">
        <f t="shared" si="279"/>
        <v>68411083.167032123</v>
      </c>
      <c r="AG222" s="203">
        <f t="shared" si="280"/>
        <v>0</v>
      </c>
      <c r="AH222" s="204">
        <f t="shared" si="281"/>
        <v>0</v>
      </c>
      <c r="AI222" s="204">
        <f t="shared" si="282"/>
        <v>6219189.378821101</v>
      </c>
      <c r="AJ222" s="204">
        <f t="shared" si="283"/>
        <v>1243837.87576422</v>
      </c>
      <c r="AK222" s="204">
        <f t="shared" si="284"/>
        <v>0</v>
      </c>
      <c r="AL222" s="204">
        <f t="shared" si="285"/>
        <v>0</v>
      </c>
      <c r="AM222" s="839">
        <f t="shared" si="286"/>
        <v>7463027.2545853211</v>
      </c>
      <c r="AN222" s="203">
        <f t="shared" si="287"/>
        <v>71952566.007749677</v>
      </c>
      <c r="AO222" s="204">
        <f t="shared" si="288"/>
        <v>0</v>
      </c>
      <c r="AP222" s="204">
        <f t="shared" si="289"/>
        <v>35976283.003874838</v>
      </c>
      <c r="AQ222" s="204">
        <f t="shared" si="290"/>
        <v>50790046.593705654</v>
      </c>
      <c r="AR222" s="204">
        <f t="shared" si="291"/>
        <v>2116251.9414044023</v>
      </c>
      <c r="AS222" s="204">
        <f t="shared" si="292"/>
        <v>0</v>
      </c>
      <c r="AT222" s="210">
        <f t="shared" si="293"/>
        <v>160835147.54673457</v>
      </c>
      <c r="AU222" s="222">
        <v>0</v>
      </c>
      <c r="AV222" s="214">
        <f t="shared" si="294"/>
        <v>236.70925796835201</v>
      </c>
      <c r="AW222" s="841">
        <f t="shared" si="295"/>
        <v>3.7309486194433799</v>
      </c>
    </row>
    <row r="223" spans="1:49">
      <c r="A223" s="89">
        <f>'Input data'!A147</f>
        <v>2047</v>
      </c>
      <c r="B223" s="93">
        <f>'Input data'!B147</f>
        <v>74.373096484110363</v>
      </c>
      <c r="C223" s="100">
        <f>'Recycling - Case 3'!E127</f>
        <v>1</v>
      </c>
      <c r="D223" s="471">
        <f>'Recycling - Case 3'!F127</f>
        <v>0.37</v>
      </c>
      <c r="E223" s="203">
        <f t="shared" si="188"/>
        <v>1157580989.8906419</v>
      </c>
      <c r="F223" s="204">
        <v>0</v>
      </c>
      <c r="G223" s="205">
        <f t="shared" si="189"/>
        <v>1157580989.8906419</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26045572.272539444</v>
      </c>
      <c r="AA223" s="204">
        <f t="shared" si="274"/>
        <v>0</v>
      </c>
      <c r="AB223" s="204">
        <f t="shared" si="275"/>
        <v>26045572.272539444</v>
      </c>
      <c r="AC223" s="204">
        <f t="shared" si="276"/>
        <v>14585520.472622091</v>
      </c>
      <c r="AD223" s="204">
        <f t="shared" si="277"/>
        <v>2083645.7818031558</v>
      </c>
      <c r="AE223" s="204">
        <f t="shared" si="278"/>
        <v>0</v>
      </c>
      <c r="AF223" s="210">
        <f t="shared" si="279"/>
        <v>68760310.799504131</v>
      </c>
      <c r="AG223" s="203">
        <f t="shared" si="280"/>
        <v>0</v>
      </c>
      <c r="AH223" s="204">
        <f t="shared" si="281"/>
        <v>0</v>
      </c>
      <c r="AI223" s="204">
        <f t="shared" si="282"/>
        <v>6250937.345409466</v>
      </c>
      <c r="AJ223" s="204">
        <f t="shared" si="283"/>
        <v>1250187.4690818931</v>
      </c>
      <c r="AK223" s="204">
        <f t="shared" si="284"/>
        <v>0</v>
      </c>
      <c r="AL223" s="204">
        <f t="shared" si="285"/>
        <v>0</v>
      </c>
      <c r="AM223" s="839">
        <f t="shared" si="286"/>
        <v>7501124.8144913595</v>
      </c>
      <c r="AN223" s="203">
        <f t="shared" si="287"/>
        <v>72319872.343417853</v>
      </c>
      <c r="AO223" s="204">
        <f t="shared" si="288"/>
        <v>0</v>
      </c>
      <c r="AP223" s="204">
        <f t="shared" si="289"/>
        <v>36159936.171708927</v>
      </c>
      <c r="AQ223" s="204">
        <f t="shared" si="290"/>
        <v>51049321.654177308</v>
      </c>
      <c r="AR223" s="204">
        <f t="shared" si="291"/>
        <v>2127055.0689240545</v>
      </c>
      <c r="AS223" s="204">
        <f t="shared" si="292"/>
        <v>0</v>
      </c>
      <c r="AT223" s="210">
        <f t="shared" si="293"/>
        <v>161656185.23822814</v>
      </c>
      <c r="AU223" s="222">
        <v>0</v>
      </c>
      <c r="AV223" s="214">
        <f t="shared" si="294"/>
        <v>237.91762085222362</v>
      </c>
      <c r="AW223" s="841">
        <f t="shared" si="295"/>
        <v>3.74999451512174</v>
      </c>
    </row>
    <row r="224" spans="1:49">
      <c r="A224" s="89">
        <f>'Input data'!A148</f>
        <v>2048</v>
      </c>
      <c r="B224" s="93">
        <f>'Input data'!B148</f>
        <v>74.752759240528661</v>
      </c>
      <c r="C224" s="100">
        <f>'Recycling - Case 3'!E128</f>
        <v>1</v>
      </c>
      <c r="D224" s="471">
        <f>'Recycling - Case 3'!F128</f>
        <v>0.37</v>
      </c>
      <c r="E224" s="203">
        <f t="shared" si="188"/>
        <v>1163490255.6086991</v>
      </c>
      <c r="F224" s="204">
        <v>0</v>
      </c>
      <c r="G224" s="205">
        <f t="shared" si="189"/>
        <v>1163490255.6086991</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26178530.751195729</v>
      </c>
      <c r="AA224" s="204">
        <f t="shared" si="274"/>
        <v>0</v>
      </c>
      <c r="AB224" s="204">
        <f t="shared" si="275"/>
        <v>26178530.751195729</v>
      </c>
      <c r="AC224" s="204">
        <f t="shared" si="276"/>
        <v>14659977.220669612</v>
      </c>
      <c r="AD224" s="204">
        <f t="shared" si="277"/>
        <v>2094282.4600956584</v>
      </c>
      <c r="AE224" s="204">
        <f t="shared" si="278"/>
        <v>0</v>
      </c>
      <c r="AF224" s="210">
        <f t="shared" si="279"/>
        <v>69111321.183156729</v>
      </c>
      <c r="AG224" s="203">
        <f t="shared" si="280"/>
        <v>0</v>
      </c>
      <c r="AH224" s="204">
        <f t="shared" si="281"/>
        <v>0</v>
      </c>
      <c r="AI224" s="204">
        <f t="shared" si="282"/>
        <v>6282847.3802869748</v>
      </c>
      <c r="AJ224" s="204">
        <f t="shared" si="283"/>
        <v>1256569.4760573949</v>
      </c>
      <c r="AK224" s="204">
        <f t="shared" si="284"/>
        <v>0</v>
      </c>
      <c r="AL224" s="204">
        <f t="shared" si="285"/>
        <v>0</v>
      </c>
      <c r="AM224" s="839">
        <f t="shared" si="286"/>
        <v>7539416.8563443702</v>
      </c>
      <c r="AN224" s="203">
        <f t="shared" si="287"/>
        <v>72689053.719153479</v>
      </c>
      <c r="AO224" s="204">
        <f t="shared" si="288"/>
        <v>0</v>
      </c>
      <c r="AP224" s="204">
        <f t="shared" si="289"/>
        <v>36344526.859576739</v>
      </c>
      <c r="AQ224" s="204">
        <f t="shared" si="290"/>
        <v>51309920.272343628</v>
      </c>
      <c r="AR224" s="204">
        <f t="shared" si="291"/>
        <v>2137913.3446809845</v>
      </c>
      <c r="AS224" s="204">
        <f t="shared" si="292"/>
        <v>0</v>
      </c>
      <c r="AT224" s="210">
        <f t="shared" si="293"/>
        <v>162481414.19575486</v>
      </c>
      <c r="AU224" s="222">
        <v>0</v>
      </c>
      <c r="AV224" s="214">
        <f t="shared" si="294"/>
        <v>239.13215223525594</v>
      </c>
      <c r="AW224" s="841">
        <f t="shared" si="295"/>
        <v>3.769137637049826</v>
      </c>
    </row>
    <row r="225" spans="1:49">
      <c r="A225" s="89">
        <f>'Input data'!A149</f>
        <v>2049</v>
      </c>
      <c r="B225" s="93">
        <f>'Input data'!B149</f>
        <v>75.134360114565098</v>
      </c>
      <c r="C225" s="100">
        <f>'Recycling - Case 3'!E129</f>
        <v>1</v>
      </c>
      <c r="D225" s="471">
        <f>'Recycling - Case 3'!F129</f>
        <v>0.37</v>
      </c>
      <c r="E225" s="203">
        <f t="shared" si="188"/>
        <v>1169429687.1826501</v>
      </c>
      <c r="F225" s="204">
        <v>0</v>
      </c>
      <c r="G225" s="205">
        <f t="shared" si="189"/>
        <v>1169429687.1826501</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26312167.961609632</v>
      </c>
      <c r="AA225" s="204">
        <f t="shared" si="274"/>
        <v>0</v>
      </c>
      <c r="AB225" s="204">
        <f t="shared" si="275"/>
        <v>26312167.961609632</v>
      </c>
      <c r="AC225" s="204">
        <f t="shared" si="276"/>
        <v>14734814.058501394</v>
      </c>
      <c r="AD225" s="204">
        <f t="shared" si="277"/>
        <v>2104973.4369287705</v>
      </c>
      <c r="AE225" s="204">
        <f t="shared" si="278"/>
        <v>0</v>
      </c>
      <c r="AF225" s="210">
        <f t="shared" si="279"/>
        <v>69464123.41864942</v>
      </c>
      <c r="AG225" s="203">
        <f t="shared" si="280"/>
        <v>0</v>
      </c>
      <c r="AH225" s="204">
        <f t="shared" si="281"/>
        <v>0</v>
      </c>
      <c r="AI225" s="204">
        <f t="shared" si="282"/>
        <v>6314920.3107863097</v>
      </c>
      <c r="AJ225" s="204">
        <f t="shared" si="283"/>
        <v>1262984.0621572619</v>
      </c>
      <c r="AK225" s="204">
        <f t="shared" si="284"/>
        <v>0</v>
      </c>
      <c r="AL225" s="204">
        <f t="shared" si="285"/>
        <v>0</v>
      </c>
      <c r="AM225" s="839">
        <f t="shared" si="286"/>
        <v>7577904.3729435718</v>
      </c>
      <c r="AN225" s="203">
        <f t="shared" si="287"/>
        <v>73060119.706736073</v>
      </c>
      <c r="AO225" s="204">
        <f t="shared" si="288"/>
        <v>0</v>
      </c>
      <c r="AP225" s="204">
        <f t="shared" si="289"/>
        <v>36530059.853368036</v>
      </c>
      <c r="AQ225" s="204">
        <f t="shared" si="290"/>
        <v>51571849.204754859</v>
      </c>
      <c r="AR225" s="204">
        <f t="shared" si="291"/>
        <v>2148827.0501981191</v>
      </c>
      <c r="AS225" s="204">
        <f t="shared" si="292"/>
        <v>0</v>
      </c>
      <c r="AT225" s="210">
        <f t="shared" si="293"/>
        <v>163310855.81505707</v>
      </c>
      <c r="AU225" s="222">
        <v>0</v>
      </c>
      <c r="AV225" s="214">
        <f t="shared" si="294"/>
        <v>240.35288360665007</v>
      </c>
      <c r="AW225" s="841">
        <f t="shared" si="295"/>
        <v>3.7883784815520856</v>
      </c>
    </row>
    <row r="226" spans="1:49" ht="15" thickBot="1">
      <c r="A226" s="141">
        <f>'Input data'!A150</f>
        <v>2050</v>
      </c>
      <c r="B226" s="830">
        <f>'Input data'!B150</f>
        <v>75.517908999999989</v>
      </c>
      <c r="C226" s="581">
        <f>'Recycling - Case 3'!E130</f>
        <v>1</v>
      </c>
      <c r="D226" s="582">
        <f>'Recycling - Case 3'!F130</f>
        <v>0.37</v>
      </c>
      <c r="E226" s="206">
        <f t="shared" si="188"/>
        <v>1175399438.6043625</v>
      </c>
      <c r="F226" s="207">
        <v>0</v>
      </c>
      <c r="G226" s="208">
        <f t="shared" si="189"/>
        <v>1175399438.6043625</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26446487.368598159</v>
      </c>
      <c r="AA226" s="207">
        <f t="shared" si="274"/>
        <v>0</v>
      </c>
      <c r="AB226" s="207">
        <f t="shared" si="275"/>
        <v>26446487.368598159</v>
      </c>
      <c r="AC226" s="207">
        <f t="shared" si="276"/>
        <v>14810032.926414972</v>
      </c>
      <c r="AD226" s="207">
        <f t="shared" si="277"/>
        <v>2115718.9894878524</v>
      </c>
      <c r="AE226" s="207">
        <f t="shared" si="278"/>
        <v>0</v>
      </c>
      <c r="AF226" s="211">
        <f t="shared" si="279"/>
        <v>69818726.653099149</v>
      </c>
      <c r="AG226" s="206">
        <f t="shared" si="280"/>
        <v>0</v>
      </c>
      <c r="AH226" s="207">
        <f t="shared" si="281"/>
        <v>0</v>
      </c>
      <c r="AI226" s="207">
        <f t="shared" si="282"/>
        <v>6347156.9684635568</v>
      </c>
      <c r="AJ226" s="207">
        <f t="shared" si="283"/>
        <v>1269431.3936927111</v>
      </c>
      <c r="AK226" s="207">
        <f t="shared" si="284"/>
        <v>0</v>
      </c>
      <c r="AL226" s="207">
        <f t="shared" si="285"/>
        <v>0</v>
      </c>
      <c r="AM226" s="840">
        <f t="shared" si="286"/>
        <v>7616588.3621562682</v>
      </c>
      <c r="AN226" s="206">
        <f t="shared" si="287"/>
        <v>73433079.926807553</v>
      </c>
      <c r="AO226" s="207">
        <f t="shared" si="288"/>
        <v>0</v>
      </c>
      <c r="AP226" s="207">
        <f t="shared" si="289"/>
        <v>36716539.963403776</v>
      </c>
      <c r="AQ226" s="207">
        <f t="shared" si="290"/>
        <v>51835115.242452383</v>
      </c>
      <c r="AR226" s="207">
        <f t="shared" si="291"/>
        <v>2159796.4684355161</v>
      </c>
      <c r="AS226" s="207">
        <f t="shared" si="292"/>
        <v>0</v>
      </c>
      <c r="AT226" s="211">
        <f t="shared" si="293"/>
        <v>164144531.60109925</v>
      </c>
      <c r="AU226" s="222">
        <v>0</v>
      </c>
      <c r="AV226" s="217">
        <f t="shared" si="294"/>
        <v>241.57984661635467</v>
      </c>
      <c r="AW226" s="842">
        <f t="shared" si="295"/>
        <v>3.8077175474866229</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8671875" defaultRowHeight="14.4"/>
  <cols>
    <col min="1" max="1" width="39.33203125" customWidth="1"/>
    <col min="2" max="2" width="23.33203125" customWidth="1"/>
    <col min="3" max="3" width="16.5546875" customWidth="1"/>
    <col min="4" max="4" width="14.6640625" customWidth="1"/>
    <col min="5" max="5" width="16.44140625" customWidth="1"/>
    <col min="6" max="6" width="17" customWidth="1"/>
    <col min="7" max="7" width="13.88671875" customWidth="1"/>
    <col min="8" max="8" width="16.5546875" customWidth="1"/>
    <col min="9" max="9" width="20.33203125" customWidth="1"/>
    <col min="10" max="10" width="15.109375" customWidth="1"/>
    <col min="12" max="12" width="20.88671875" customWidth="1"/>
    <col min="14" max="14" width="11" customWidth="1"/>
    <col min="15" max="15" width="10.6640625" bestFit="1" customWidth="1"/>
  </cols>
  <sheetData>
    <row r="1" spans="1:23">
      <c r="A1" s="7" t="s">
        <v>126</v>
      </c>
      <c r="B1" s="12"/>
      <c r="C1" s="12"/>
      <c r="D1" s="12"/>
      <c r="E1" s="12"/>
      <c r="F1" s="12"/>
      <c r="G1" s="12"/>
      <c r="H1" s="12"/>
      <c r="I1" s="12"/>
      <c r="J1" s="12"/>
    </row>
    <row r="2" spans="1:23" ht="14.4" customHeight="1"/>
    <row r="3" spans="1:23">
      <c r="A3" t="s">
        <v>159</v>
      </c>
      <c r="B3" s="31"/>
      <c r="C3" s="31"/>
      <c r="D3" s="31"/>
      <c r="E3" s="31"/>
      <c r="F3" s="31"/>
      <c r="G3" s="31"/>
      <c r="L3" s="45" t="s">
        <v>127</v>
      </c>
      <c r="M3" s="12"/>
      <c r="N3" s="12"/>
      <c r="O3" s="12"/>
    </row>
    <row r="4" spans="1:23" ht="1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29.4"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29.4"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 thickBot="1">
      <c r="A19" s="12"/>
      <c r="B19" s="12"/>
      <c r="C19" s="12"/>
      <c r="D19" s="12"/>
      <c r="E19" s="12"/>
      <c r="F19" s="12"/>
      <c r="G19" s="12"/>
      <c r="M19" s="12"/>
      <c r="N19" s="51"/>
      <c r="O19" s="12"/>
    </row>
    <row r="20" spans="1:15" ht="16.2">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6.2">
      <c r="A22" s="53" t="s">
        <v>161</v>
      </c>
      <c r="B22" s="1706" t="s">
        <v>149</v>
      </c>
      <c r="C22" s="1707"/>
      <c r="D22" s="12"/>
      <c r="E22" s="12"/>
      <c r="F22" s="12"/>
      <c r="G22" s="12"/>
      <c r="M22" s="12"/>
      <c r="N22" s="12"/>
      <c r="O22" s="12"/>
    </row>
    <row r="23" spans="1:15" ht="1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 thickBot="1">
      <c r="A26" s="13" t="s">
        <v>101</v>
      </c>
    </row>
    <row r="27" spans="1:15" ht="1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 thickBot="1">
      <c r="A35" s="37" t="s">
        <v>247</v>
      </c>
      <c r="B35" s="18">
        <v>0</v>
      </c>
      <c r="C35" s="92"/>
    </row>
    <row r="36" spans="1:12">
      <c r="A36" s="38" t="s">
        <v>97</v>
      </c>
      <c r="B36" s="20">
        <v>0.18</v>
      </c>
      <c r="C36" s="21" t="s">
        <v>98</v>
      </c>
    </row>
    <row r="37" spans="1:12" ht="1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28.8">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28.8">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4.4"/>
  <cols>
    <col min="2" max="2" width="15.6640625" customWidth="1"/>
    <col min="3" max="3" width="17.441406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4.4"/>
  <sheetData>
    <row r="6" spans="1:39">
      <c r="A6" t="s">
        <v>218</v>
      </c>
    </row>
    <row r="7" spans="1:39">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c r="AH7" s="10"/>
      <c r="AI7" s="10"/>
      <c r="AJ7" s="10"/>
      <c r="AK7" s="10"/>
      <c r="AL7" s="10"/>
      <c r="AM7" s="10"/>
    </row>
    <row r="8" spans="1:39">
      <c r="A8">
        <v>58364.834921819442</v>
      </c>
      <c r="B8">
        <v>59308.69</v>
      </c>
      <c r="C8">
        <v>59991.580449204266</v>
      </c>
      <c r="D8">
        <v>60682.333816399376</v>
      </c>
      <c r="E8">
        <v>61381.040636574369</v>
      </c>
      <c r="F8">
        <v>62087.792487153696</v>
      </c>
      <c r="G8">
        <v>62802.682000000023</v>
      </c>
      <c r="H8">
        <v>63421.065342005146</v>
      </c>
      <c r="I8">
        <v>64045.537563425794</v>
      </c>
      <c r="J8">
        <v>64676.158618096451</v>
      </c>
      <c r="K8">
        <v>65312.989050183925</v>
      </c>
      <c r="L8">
        <v>65956.09</v>
      </c>
      <c r="M8">
        <v>66518.97719068767</v>
      </c>
      <c r="N8">
        <v>67086.668213583107</v>
      </c>
      <c r="O8">
        <v>67659.20406589545</v>
      </c>
      <c r="P8">
        <v>68236.62609471516</v>
      </c>
      <c r="Q8">
        <v>68818.97600000001</v>
      </c>
      <c r="R8">
        <v>69322.810489383541</v>
      </c>
      <c r="S8">
        <v>69830.333629884059</v>
      </c>
      <c r="T8">
        <v>70341.572426693441</v>
      </c>
      <c r="U8">
        <v>70856.554082712813</v>
      </c>
      <c r="V8">
        <v>71375.305999999997</v>
      </c>
      <c r="W8">
        <v>71818.612994947311</v>
      </c>
      <c r="X8">
        <v>72264.673338395412</v>
      </c>
      <c r="Y8">
        <v>72713.504131197798</v>
      </c>
      <c r="Z8">
        <v>73165.122580420139</v>
      </c>
      <c r="AA8">
        <v>73619.545999999973</v>
      </c>
      <c r="AB8">
        <v>73995.362001779533</v>
      </c>
      <c r="AC8">
        <v>74373.096484110356</v>
      </c>
      <c r="AD8">
        <v>74752.759240528656</v>
      </c>
      <c r="AE8">
        <v>75134.360114565105</v>
      </c>
      <c r="AF8">
        <v>75517.908999999985</v>
      </c>
    </row>
    <row r="14" spans="1:39">
      <c r="A14" t="s">
        <v>390</v>
      </c>
    </row>
    <row r="15" spans="1:39">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c r="AH15" s="10"/>
      <c r="AI15" s="10"/>
      <c r="AJ15" s="10"/>
      <c r="AK15" s="10"/>
      <c r="AL15" s="10"/>
      <c r="AM15" s="10"/>
    </row>
    <row r="16" spans="1:39">
      <c r="A16">
        <v>4436.7667702664276</v>
      </c>
      <c r="B16">
        <v>4197.6296598339768</v>
      </c>
      <c r="C16">
        <v>4326.0661578199733</v>
      </c>
      <c r="D16">
        <v>4414.4786843532656</v>
      </c>
      <c r="E16">
        <v>4492.6346436826334</v>
      </c>
      <c r="F16">
        <v>4579.7873251148294</v>
      </c>
      <c r="G16">
        <v>4678.6267528880244</v>
      </c>
      <c r="H16">
        <v>4782.707139404285</v>
      </c>
      <c r="I16">
        <v>4895.4664822406658</v>
      </c>
      <c r="J16">
        <v>5007.2618284439486</v>
      </c>
      <c r="K16">
        <v>5127.4326756514902</v>
      </c>
      <c r="L16">
        <v>5247.6087278453806</v>
      </c>
      <c r="M16">
        <v>5388.2194214943684</v>
      </c>
      <c r="N16">
        <v>5536.7385220125598</v>
      </c>
      <c r="O16">
        <v>5692.5826618103829</v>
      </c>
      <c r="P16">
        <v>5868.7539844737303</v>
      </c>
      <c r="Q16">
        <v>6036.7474148806386</v>
      </c>
      <c r="R16">
        <v>6215.8972497914319</v>
      </c>
      <c r="S16">
        <v>6413.8831516087803</v>
      </c>
      <c r="T16">
        <v>6601.8179471225203</v>
      </c>
      <c r="U16">
        <v>6791.0078131349956</v>
      </c>
      <c r="V16">
        <v>6984.5262976576987</v>
      </c>
      <c r="W16">
        <v>7185.3982187188903</v>
      </c>
      <c r="X16">
        <v>7378.5415978844649</v>
      </c>
      <c r="Y16">
        <v>7577.166622606117</v>
      </c>
      <c r="Z16">
        <v>7783.6023406905715</v>
      </c>
      <c r="AA16">
        <v>7997.9247065980107</v>
      </c>
      <c r="AB16">
        <v>8212.8506709212088</v>
      </c>
      <c r="AC16">
        <v>8261.0803168727289</v>
      </c>
      <c r="AD16">
        <v>8289.8997424694644</v>
      </c>
      <c r="AE16">
        <v>8319.7266636271434</v>
      </c>
      <c r="AF16">
        <v>8341.54221182129</v>
      </c>
    </row>
    <row r="23" spans="1:39">
      <c r="A23" t="s">
        <v>685</v>
      </c>
    </row>
    <row r="24" spans="1:39">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c r="AH24" s="10"/>
      <c r="AI24" s="10"/>
      <c r="AJ24" s="10"/>
      <c r="AK24" s="10"/>
      <c r="AL24" s="10"/>
      <c r="AM24" s="10"/>
    </row>
    <row r="25" spans="1:39">
      <c r="A25">
        <v>3080.6937919675725</v>
      </c>
      <c r="B25">
        <v>2952.8344327270042</v>
      </c>
      <c r="C25">
        <v>2928.6625405752679</v>
      </c>
      <c r="D25">
        <v>2917.8692451174174</v>
      </c>
      <c r="E25">
        <v>2819.694351478357</v>
      </c>
      <c r="F25">
        <v>2836.2624230396641</v>
      </c>
      <c r="G25">
        <v>2812.3614093429851</v>
      </c>
      <c r="H25">
        <v>2744.7876310691154</v>
      </c>
      <c r="I25">
        <v>2754.7589508917604</v>
      </c>
      <c r="J25">
        <v>2738.5456421535578</v>
      </c>
      <c r="K25">
        <v>2660.1058416963529</v>
      </c>
      <c r="L25">
        <v>2492.8926865370486</v>
      </c>
      <c r="M25">
        <v>2403.2818978605537</v>
      </c>
      <c r="N25">
        <v>2390.3534617607725</v>
      </c>
      <c r="O25">
        <v>2332.8384192053959</v>
      </c>
      <c r="P25">
        <v>2297.7016798801124</v>
      </c>
      <c r="Q25">
        <v>2305.5261954783095</v>
      </c>
      <c r="R25">
        <v>2272.1976232817638</v>
      </c>
      <c r="S25">
        <v>2220.5750055393264</v>
      </c>
      <c r="T25">
        <v>2123.8397486399199</v>
      </c>
      <c r="U25">
        <v>2027.104491740514</v>
      </c>
      <c r="V25">
        <v>1930.3692348411078</v>
      </c>
      <c r="W25">
        <v>1778.5973546665439</v>
      </c>
      <c r="X25">
        <v>1626.8254744919795</v>
      </c>
      <c r="Y25">
        <v>1475.0535943174154</v>
      </c>
      <c r="Z25">
        <v>1323.2817141428516</v>
      </c>
      <c r="AA25">
        <v>1171.5098339682875</v>
      </c>
      <c r="AB25">
        <v>939.65496668514652</v>
      </c>
      <c r="AC25">
        <v>707.80009940200557</v>
      </c>
      <c r="AD25">
        <v>475.94523211886457</v>
      </c>
      <c r="AE25">
        <v>244.09036483572362</v>
      </c>
      <c r="AF25">
        <v>12.235497552582627</v>
      </c>
    </row>
    <row r="40" spans="1:5">
      <c r="A40" s="10" t="s">
        <v>812</v>
      </c>
      <c r="B40" s="10" t="s">
        <v>813</v>
      </c>
      <c r="C40" s="10" t="s">
        <v>814</v>
      </c>
      <c r="D40" s="10" t="s">
        <v>815</v>
      </c>
      <c r="E40" s="10" t="s">
        <v>819</v>
      </c>
    </row>
    <row r="41" spans="1:5">
      <c r="A41">
        <v>2</v>
      </c>
      <c r="B41">
        <v>2</v>
      </c>
      <c r="C41">
        <v>1</v>
      </c>
      <c r="D41">
        <v>2</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4.4"/>
  <cols>
    <col min="1" max="1" width="37.6640625" bestFit="1" customWidth="1"/>
  </cols>
  <sheetData>
    <row r="1" spans="1:45">
      <c r="A1" t="s">
        <v>671</v>
      </c>
      <c r="B1" s="1005">
        <f>Drivers!D41</f>
        <v>2</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16629.259980193343</v>
      </c>
      <c r="AR3">
        <v>16842.875377232984</v>
      </c>
      <c r="AS3" s="1391">
        <f ca="1">AQ3/AR3</f>
        <v>0.98731716573000405</v>
      </c>
    </row>
    <row r="4" spans="1:45">
      <c r="H4">
        <v>3</v>
      </c>
      <c r="I4">
        <f>I3-I2+I3</f>
        <v>137</v>
      </c>
      <c r="J4" t="str">
        <f t="shared" si="0"/>
        <v>W4BCH4</v>
      </c>
      <c r="K4" t="s">
        <v>678</v>
      </c>
      <c r="L4" t="s">
        <v>188</v>
      </c>
      <c r="M4">
        <v>2</v>
      </c>
      <c r="N4">
        <v>2</v>
      </c>
      <c r="AM4" t="s">
        <v>674</v>
      </c>
      <c r="AN4" t="s">
        <v>679</v>
      </c>
      <c r="AO4" t="s">
        <v>190</v>
      </c>
      <c r="AP4">
        <v>1</v>
      </c>
      <c r="AQ4">
        <f ca="1">AP4*AA16</f>
        <v>10.253959437125518</v>
      </c>
    </row>
    <row r="5" spans="1:45">
      <c r="J5" t="str">
        <f t="shared" si="0"/>
        <v>W4C2CH4</v>
      </c>
      <c r="K5" t="s">
        <v>679</v>
      </c>
      <c r="L5" t="s">
        <v>188</v>
      </c>
      <c r="M5">
        <v>6</v>
      </c>
      <c r="N5">
        <v>1</v>
      </c>
      <c r="AM5" t="s">
        <v>673</v>
      </c>
      <c r="AN5" t="s">
        <v>677</v>
      </c>
      <c r="AO5" t="s">
        <v>188</v>
      </c>
      <c r="AP5">
        <v>21</v>
      </c>
      <c r="AQ5">
        <f t="shared" ref="AQ5:AQ11" ca="1" si="1">AP5*AA17</f>
        <v>9322.4003422276965</v>
      </c>
    </row>
    <row r="6" spans="1:45">
      <c r="J6" t="str">
        <f t="shared" si="0"/>
        <v>W4D1CH4</v>
      </c>
      <c r="K6" t="s">
        <v>680</v>
      </c>
      <c r="L6" t="s">
        <v>188</v>
      </c>
      <c r="M6">
        <v>8</v>
      </c>
      <c r="N6">
        <v>1</v>
      </c>
      <c r="AM6" t="s">
        <v>676</v>
      </c>
      <c r="AN6" t="s">
        <v>678</v>
      </c>
      <c r="AO6" t="s">
        <v>188</v>
      </c>
      <c r="AP6">
        <v>21</v>
      </c>
      <c r="AQ6">
        <f t="shared" ca="1" si="1"/>
        <v>809.24660691962902</v>
      </c>
    </row>
    <row r="7" spans="1:45">
      <c r="J7" t="str">
        <f t="shared" si="0"/>
        <v>W4BN2O</v>
      </c>
      <c r="K7" t="s">
        <v>678</v>
      </c>
      <c r="L7" t="s">
        <v>191</v>
      </c>
      <c r="M7">
        <v>4</v>
      </c>
      <c r="N7">
        <v>1</v>
      </c>
      <c r="AM7" t="s">
        <v>674</v>
      </c>
      <c r="AN7" t="s">
        <v>679</v>
      </c>
      <c r="AO7" t="s">
        <v>188</v>
      </c>
      <c r="AP7">
        <v>21</v>
      </c>
      <c r="AQ7">
        <f t="shared" ca="1" si="1"/>
        <v>72.453011857886565</v>
      </c>
    </row>
    <row r="8" spans="1:45">
      <c r="J8" t="str">
        <f t="shared" si="0"/>
        <v>W4C2N2O</v>
      </c>
      <c r="K8" t="s">
        <v>679</v>
      </c>
      <c r="L8" t="s">
        <v>191</v>
      </c>
      <c r="M8">
        <v>7</v>
      </c>
      <c r="N8">
        <v>1</v>
      </c>
      <c r="AM8" t="s">
        <v>675</v>
      </c>
      <c r="AN8" t="s">
        <v>680</v>
      </c>
      <c r="AO8" t="s">
        <v>188</v>
      </c>
      <c r="AP8">
        <v>21</v>
      </c>
      <c r="AQ8">
        <f t="shared" ca="1" si="1"/>
        <v>4623.1527808041728</v>
      </c>
    </row>
    <row r="9" spans="1:45">
      <c r="J9" t="str">
        <f t="shared" si="0"/>
        <v>W4D1N2O</v>
      </c>
      <c r="K9" t="s">
        <v>680</v>
      </c>
      <c r="L9" t="s">
        <v>191</v>
      </c>
      <c r="M9">
        <v>9</v>
      </c>
      <c r="N9">
        <v>1</v>
      </c>
      <c r="AM9" t="s">
        <v>676</v>
      </c>
      <c r="AN9" t="s">
        <v>678</v>
      </c>
      <c r="AO9" t="s">
        <v>191</v>
      </c>
      <c r="AP9">
        <v>310</v>
      </c>
      <c r="AQ9">
        <f t="shared" ca="1" si="1"/>
        <v>701.17951344899541</v>
      </c>
    </row>
    <row r="10" spans="1:45">
      <c r="AM10" t="s">
        <v>674</v>
      </c>
      <c r="AN10" t="s">
        <v>679</v>
      </c>
      <c r="AO10" t="s">
        <v>191</v>
      </c>
      <c r="AP10">
        <v>310</v>
      </c>
      <c r="AQ10">
        <f t="shared" ca="1" si="1"/>
        <v>14.889864084061417</v>
      </c>
    </row>
    <row r="11" spans="1:45">
      <c r="AM11" t="s">
        <v>675</v>
      </c>
      <c r="AN11" t="s">
        <v>680</v>
      </c>
      <c r="AO11" t="s">
        <v>191</v>
      </c>
      <c r="AP11">
        <v>310</v>
      </c>
      <c r="AQ11">
        <f t="shared" ca="1" si="1"/>
        <v>1075.6839014137802</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32.917048058163878</v>
      </c>
      <c r="K16" s="119">
        <f ca="1">SUM(OFFSET('Output data (results)'!$B$10,K$15-2000+INDEX($I$2:$I$4,MATCH($B$1,$H$2:$H$4,0)),INDEX($M$2:$M$9,MATCH($B16&amp;$C16,$J$2:$J$9,0)),1,INDEX($N$2:$N$9,MATCH($B16&amp;$C16,$J$2:$J$9,0))))</f>
        <v>32.340305277661429</v>
      </c>
      <c r="L16" s="119">
        <f ca="1">SUM(OFFSET('Output data (results)'!$B$10,L$15-2000+INDEX($I$2:$I$4,MATCH($B$1,$H$2:$H$4,0)),INDEX($M$2:$M$9,MATCH($B16&amp;$C16,$J$2:$J$9,0)),1,INDEX($N$2:$N$9,MATCH($B16&amp;$C16,$J$2:$J$9,0))))</f>
        <v>31.469339877453482</v>
      </c>
      <c r="M16" s="119">
        <f ca="1">SUM(OFFSET('Output data (results)'!$B$10,M$15-2000+INDEX($I$2:$I$4,MATCH($B$1,$H$2:$H$4,0)),INDEX($M$2:$M$9,MATCH($B16&amp;$C16,$J$2:$J$9,0)),1,INDEX($N$2:$N$9,MATCH($B16&amp;$C16,$J$2:$J$9,0))))</f>
        <v>28.931012243244801</v>
      </c>
      <c r="N16" s="119">
        <f ca="1">SUM(OFFSET('Output data (results)'!$B$10,N$15-2000+INDEX($I$2:$I$4,MATCH($B$1,$H$2:$H$4,0)),INDEX($M$2:$M$9,MATCH($B16&amp;$C16,$J$2:$J$9,0)),1,INDEX($N$2:$N$9,MATCH($B16&amp;$C16,$J$2:$J$9,0))))</f>
        <v>24.077995052126731</v>
      </c>
      <c r="O16" s="119">
        <f ca="1">SUM(OFFSET('Output data (results)'!$B$10,O$15-2000+INDEX($I$2:$I$4,MATCH($B$1,$H$2:$H$4,0)),INDEX($M$2:$M$9,MATCH($B16&amp;$C16,$J$2:$J$9,0)),1,INDEX($N$2:$N$9,MATCH($B16&amp;$C16,$J$2:$J$9,0))))</f>
        <v>22.834713354191653</v>
      </c>
      <c r="P16" s="119">
        <f ca="1">SUM(OFFSET('Output data (results)'!$B$10,P$15-2000+INDEX($I$2:$I$4,MATCH($B$1,$H$2:$H$4,0)),INDEX($M$2:$M$9,MATCH($B16&amp;$C16,$J$2:$J$9,0)),1,INDEX($N$2:$N$9,MATCH($B16&amp;$C16,$J$2:$J$9,0))))</f>
        <v>21.570135720604139</v>
      </c>
      <c r="Q16" s="119">
        <f ca="1">SUM(OFFSET('Output data (results)'!$B$10,Q$15-2000+INDEX($I$2:$I$4,MATCH($B$1,$H$2:$H$4,0)),INDEX($M$2:$M$9,MATCH($B16&amp;$C16,$J$2:$J$9,0)),1,INDEX($N$2:$N$9,MATCH($B16&amp;$C16,$J$2:$J$9,0))))</f>
        <v>20.283486456074918</v>
      </c>
      <c r="R16" s="119">
        <f ca="1">SUM(OFFSET('Output data (results)'!$B$10,R$15-2000+INDEX($I$2:$I$4,MATCH($B$1,$H$2:$H$4,0)),INDEX($M$2:$M$9,MATCH($B16&amp;$C16,$J$2:$J$9,0)),1,INDEX($N$2:$N$9,MATCH($B16&amp;$C16,$J$2:$J$9,0))))</f>
        <v>18.985188117273655</v>
      </c>
      <c r="S16" s="119">
        <f ca="1">SUM(OFFSET('Output data (results)'!$B$10,S$15-2000+INDEX($I$2:$I$4,MATCH($B$1,$H$2:$H$4,0)),INDEX($M$2:$M$9,MATCH($B16&amp;$C16,$J$2:$J$9,0)),1,INDEX($N$2:$N$9,MATCH($B16&amp;$C16,$J$2:$J$9,0))))</f>
        <v>17.661577035208047</v>
      </c>
      <c r="T16" s="119">
        <f ca="1">SUM(OFFSET('Output data (results)'!$B$10,T$15-2000+INDEX($I$2:$I$4,MATCH($B$1,$H$2:$H$4,0)),INDEX($M$2:$M$9,MATCH($B16&amp;$C16,$J$2:$J$9,0)),1,INDEX($N$2:$N$9,MATCH($B16&amp;$C16,$J$2:$J$9,0))))</f>
        <v>16.311739327952857</v>
      </c>
      <c r="U16" s="119">
        <f ca="1">SUM(OFFSET('Output data (results)'!$B$10,U$15-2000+INDEX($I$2:$I$4,MATCH($B$1,$H$2:$H$4,0)),INDEX($M$2:$M$9,MATCH($B16&amp;$C16,$J$2:$J$9,0)),1,INDEX($N$2:$N$9,MATCH($B16&amp;$C16,$J$2:$J$9,0))))</f>
        <v>14.93472003386634</v>
      </c>
      <c r="V16" s="119">
        <f ca="1">SUM(OFFSET('Output data (results)'!$B$10,V$15-2000+INDEX($I$2:$I$4,MATCH($B$1,$H$2:$H$4,0)),INDEX($M$2:$M$9,MATCH($B16&amp;$C16,$J$2:$J$9,0)),1,INDEX($N$2:$N$9,MATCH($B16&amp;$C16,$J$2:$J$9,0))))</f>
        <v>13.529520713203713</v>
      </c>
      <c r="W16" s="119">
        <f ca="1">SUM(OFFSET('Output data (results)'!$B$10,W$15-2000+INDEX($I$2:$I$4,MATCH($B$1,$H$2:$H$4,0)),INDEX($M$2:$M$9,MATCH($B16&amp;$C16,$J$2:$J$9,0)),1,INDEX($N$2:$N$9,MATCH($B16&amp;$C16,$J$2:$J$9,0))))</f>
        <v>11.932120220532866</v>
      </c>
      <c r="X16" s="119">
        <f ca="1">SUM(OFFSET('Output data (results)'!$B$10,X$15-2000+INDEX($I$2:$I$4,MATCH($B$1,$H$2:$H$4,0)),INDEX($M$2:$M$9,MATCH($B16&amp;$C16,$J$2:$J$9,0)),1,INDEX($N$2:$N$9,MATCH($B16&amp;$C16,$J$2:$J$9,0))))</f>
        <v>10.344645425665796</v>
      </c>
      <c r="Y16" s="119">
        <f ca="1">SUM(OFFSET('Output data (results)'!$B$10,Y$15-2000+INDEX($I$2:$I$4,MATCH($B$1,$H$2:$H$4,0)),INDEX($M$2:$M$9,MATCH($B16&amp;$C16,$J$2:$J$9,0)),1,INDEX($N$2:$N$9,MATCH($B16&amp;$C16,$J$2:$J$9,0))))</f>
        <v>10.313981067569168</v>
      </c>
      <c r="Z16" s="119">
        <f ca="1">SUM(OFFSET('Output data (results)'!$B$10,Z$15-2000+INDEX($I$2:$I$4,MATCH($B$1,$H$2:$H$4,0)),INDEX($M$2:$M$9,MATCH($B16&amp;$C16,$J$2:$J$9,0)),1,INDEX($N$2:$N$9,MATCH($B16&amp;$C16,$J$2:$J$9,0))))</f>
        <v>10.283755160967955</v>
      </c>
      <c r="AA16" s="119">
        <f ca="1">SUM(OFFSET('Output data (results)'!$B$10,AA$15-2000+INDEX($I$2:$I$4,MATCH($B$1,$H$2:$H$4,0)),INDEX($M$2:$M$9,MATCH($B16&amp;$C16,$J$2:$J$9,0)),1,INDEX($N$2:$N$9,MATCH($B16&amp;$C16,$J$2:$J$9,0))))</f>
        <v>10.253959437125518</v>
      </c>
      <c r="AB16" s="119">
        <f ca="1">SUM(OFFSET('Output data (results)'!$B$10,AB$15-2000+INDEX($I$2:$I$4,MATCH($B$1,$H$2:$H$4,0)),INDEX($M$2:$M$9,MATCH($B16&amp;$C16,$J$2:$J$9,0)),1,INDEX($N$2:$N$9,MATCH($B16&amp;$C16,$J$2:$J$9,0))))</f>
        <v>10.228720631598184</v>
      </c>
      <c r="AC16" s="119">
        <f ca="1">SUM(OFFSET('Output data (results)'!$B$10,AC$15-2000+INDEX($I$2:$I$4,MATCH($B$1,$H$2:$H$4,0)),INDEX($M$2:$M$9,MATCH($B16&amp;$C16,$J$2:$J$9,0)),1,INDEX($N$2:$N$9,MATCH($B16&amp;$C16,$J$2:$J$9,0))))</f>
        <v>10.203787853753198</v>
      </c>
      <c r="AD16" s="119">
        <f ca="1">SUM(OFFSET('Output data (results)'!$B$10,AD$15-2000+INDEX($I$2:$I$4,MATCH($B$1,$H$2:$H$4,0)),INDEX($M$2:$M$9,MATCH($B16&amp;$C16,$J$2:$J$9,0)),1,INDEX($N$2:$N$9,MATCH($B16&amp;$C16,$J$2:$J$9,0))))</f>
        <v>10.179156222495859</v>
      </c>
      <c r="AE16" s="119">
        <f ca="1">SUM(OFFSET('Output data (results)'!$B$10,AE$15-2000+INDEX($I$2:$I$4,MATCH($B$1,$H$2:$H$4,0)),INDEX($M$2:$M$9,MATCH($B16&amp;$C16,$J$2:$J$9,0)),1,INDEX($N$2:$N$9,MATCH($B16&amp;$C16,$J$2:$J$9,0))))</f>
        <v>10.154820958102038</v>
      </c>
      <c r="AF16" s="119">
        <f ca="1">SUM(OFFSET('Output data (results)'!$B$10,AF$15-2000+INDEX($I$2:$I$4,MATCH($B$1,$H$2:$H$4,0)),INDEX($M$2:$M$9,MATCH($B16&amp;$C16,$J$2:$J$9,0)),1,INDEX($N$2:$N$9,MATCH($B16&amp;$C16,$J$2:$J$9,0))))</f>
        <v>10.130777379596603</v>
      </c>
      <c r="AG16" s="119">
        <f ca="1">SUM(OFFSET('Output data (results)'!$B$10,AG$15-2000+INDEX($I$2:$I$4,MATCH($B$1,$H$2:$H$4,0)),INDEX($M$2:$M$9,MATCH($B16&amp;$C16,$J$2:$J$9,0)),1,INDEX($N$2:$N$9,MATCH($B16&amp;$C16,$J$2:$J$9,0))))</f>
        <v>10.110594115867606</v>
      </c>
      <c r="AH16" s="119">
        <f ca="1">SUM(OFFSET('Output data (results)'!$B$10,AH$15-2000+INDEX($I$2:$I$4,MATCH($B$1,$H$2:$H$4,0)),INDEX($M$2:$M$9,MATCH($B16&amp;$C16,$J$2:$J$9,0)),1,INDEX($N$2:$N$9,MATCH($B16&amp;$C16,$J$2:$J$9,0))))</f>
        <v>10.090614955764785</v>
      </c>
      <c r="AI16" s="119">
        <f ca="1">SUM(OFFSET('Output data (results)'!$B$10,AI$15-2000+INDEX($I$2:$I$4,MATCH($B$1,$H$2:$H$4,0)),INDEX($M$2:$M$9,MATCH($B16&amp;$C16,$J$2:$J$9,0)),1,INDEX($N$2:$N$9,MATCH($B16&amp;$C16,$J$2:$J$9,0))))</f>
        <v>10.070837196069071</v>
      </c>
      <c r="AJ16" s="119">
        <f ca="1">SUM(OFFSET('Output data (results)'!$B$10,AJ$15-2000+INDEX($I$2:$I$4,MATCH($B$1,$H$2:$H$4,0)),INDEX($M$2:$M$9,MATCH($B16&amp;$C16,$J$2:$J$9,0)),1,INDEX($N$2:$N$9,MATCH($B16&amp;$C16,$J$2:$J$9,0))))</f>
        <v>10.051258180143671</v>
      </c>
      <c r="AK16" s="119">
        <f ca="1">SUM(OFFSET('Output data (results)'!$B$10,AK$15-2000+INDEX($I$2:$I$4,MATCH($B$1,$H$2:$H$4,0)),INDEX($M$2:$M$9,MATCH($B16&amp;$C16,$J$2:$J$9,0)),1,INDEX($N$2:$N$9,MATCH($B16&amp;$C16,$J$2:$J$9,0))))</f>
        <v>10.031875296933661</v>
      </c>
      <c r="AL16" s="119">
        <f ca="1">SUM(OFFSET('Output data (results)'!$B$10,AL$15-2000+INDEX($I$2:$I$4,MATCH($B$1,$H$2:$H$4,0)),INDEX($M$2:$M$9,MATCH($B16&amp;$C16,$J$2:$J$9,0)),1,INDEX($N$2:$N$9,MATCH($B16&amp;$C16,$J$2:$J$9,0))))</f>
        <v>10.016080649685344</v>
      </c>
      <c r="AM16" s="119">
        <f ca="1">SUM(OFFSET('Output data (results)'!$B$10,AM$15-2000+INDEX($I$2:$I$4,MATCH($B$1,$H$2:$H$4,0)),INDEX($M$2:$M$9,MATCH($B16&amp;$C16,$J$2:$J$9,0)),1,INDEX($N$2:$N$9,MATCH($B16&amp;$C16,$J$2:$J$9,0))))</f>
        <v>10.000415502259907</v>
      </c>
      <c r="AN16" s="119">
        <f ca="1">SUM(OFFSET('Output data (results)'!$B$10,AN$15-2000+INDEX($I$2:$I$4,MATCH($B$1,$H$2:$H$4,0)),INDEX($M$2:$M$9,MATCH($B16&amp;$C16,$J$2:$J$9,0)),1,INDEX($N$2:$N$9,MATCH($B16&amp;$C16,$J$2:$J$9,0))))</f>
        <v>9.984878469104487</v>
      </c>
      <c r="AO16" s="119">
        <f ca="1">SUM(OFFSET('Output data (results)'!$B$10,AO$15-2000+INDEX($I$2:$I$4,MATCH($B$1,$H$2:$H$4,0)),INDEX($M$2:$M$9,MATCH($B16&amp;$C16,$J$2:$J$9,0)),1,INDEX($N$2:$N$9,MATCH($B16&amp;$C16,$J$2:$J$9,0))))</f>
        <v>9.9694681839421868</v>
      </c>
      <c r="AP16" s="119">
        <f ca="1">SUM(OFFSET('Output data (results)'!$B$10,AP$15-2000+INDEX($I$2:$I$4,MATCH($B$1,$H$2:$H$4,0)),INDEX($M$2:$M$9,MATCH($B16&amp;$C16,$J$2:$J$9,0)),1,INDEX($N$2:$N$9,MATCH($B16&amp;$C16,$J$2:$J$9,0))))</f>
        <v>9.9541832994375596</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801.89995091572371</v>
      </c>
      <c r="L17" s="119">
        <f ca="1">SUM(OFFSET('Output data (results)'!$B$10,L$15-2000+INDEX($I$2:$I$4,MATCH($B$1,$H$2:$H$4,0)),INDEX($M$2:$M$9,MATCH($B17&amp;$C17,$J$2:$J$9,0)),1,INDEX($N$2:$N$9,MATCH($B17&amp;$C17,$J$2:$J$9,0))))</f>
        <v>782.12846410827001</v>
      </c>
      <c r="M17" s="119">
        <f ca="1">SUM(OFFSET('Output data (results)'!$B$10,M$15-2000+INDEX($I$2:$I$4,MATCH($B$1,$H$2:$H$4,0)),INDEX($M$2:$M$9,MATCH($B17&amp;$C17,$J$2:$J$9,0)),1,INDEX($N$2:$N$9,MATCH($B17&amp;$C17,$J$2:$J$9,0))))</f>
        <v>761.07358535292883</v>
      </c>
      <c r="N17" s="119">
        <f ca="1">SUM(OFFSET('Output data (results)'!$B$10,N$15-2000+INDEX($I$2:$I$4,MATCH($B$1,$H$2:$H$4,0)),INDEX($M$2:$M$9,MATCH($B17&amp;$C17,$J$2:$J$9,0)),1,INDEX($N$2:$N$9,MATCH($B17&amp;$C17,$J$2:$J$9,0))))</f>
        <v>735.24390033839438</v>
      </c>
      <c r="O17" s="119">
        <f ca="1">SUM(OFFSET('Output data (results)'!$B$10,O$15-2000+INDEX($I$2:$I$4,MATCH($B$1,$H$2:$H$4,0)),INDEX($M$2:$M$9,MATCH($B17&amp;$C17,$J$2:$J$9,0)),1,INDEX($N$2:$N$9,MATCH($B17&amp;$C17,$J$2:$J$9,0))))</f>
        <v>707.63905906790274</v>
      </c>
      <c r="P17" s="119">
        <f ca="1">SUM(OFFSET('Output data (results)'!$B$10,P$15-2000+INDEX($I$2:$I$4,MATCH($B$1,$H$2:$H$4,0)),INDEX($M$2:$M$9,MATCH($B17&amp;$C17,$J$2:$J$9,0)),1,INDEX($N$2:$N$9,MATCH($B17&amp;$C17,$J$2:$J$9,0))))</f>
        <v>681.15886050445692</v>
      </c>
      <c r="Q17" s="119">
        <f ca="1">SUM(OFFSET('Output data (results)'!$B$10,Q$15-2000+INDEX($I$2:$I$4,MATCH($B$1,$H$2:$H$4,0)),INDEX($M$2:$M$9,MATCH($B17&amp;$C17,$J$2:$J$9,0)),1,INDEX($N$2:$N$9,MATCH($B17&amp;$C17,$J$2:$J$9,0))))</f>
        <v>655.72238027142259</v>
      </c>
      <c r="R17" s="119">
        <f ca="1">SUM(OFFSET('Output data (results)'!$B$10,R$15-2000+INDEX($I$2:$I$4,MATCH($B$1,$H$2:$H$4,0)),INDEX($M$2:$M$9,MATCH($B17&amp;$C17,$J$2:$J$9,0)),1,INDEX($N$2:$N$9,MATCH($B17&amp;$C17,$J$2:$J$9,0))))</f>
        <v>631.25216676207037</v>
      </c>
      <c r="S17" s="119">
        <f ca="1">SUM(OFFSET('Output data (results)'!$B$10,S$15-2000+INDEX($I$2:$I$4,MATCH($B$1,$H$2:$H$4,0)),INDEX($M$2:$M$9,MATCH($B17&amp;$C17,$J$2:$J$9,0)),1,INDEX($N$2:$N$9,MATCH($B17&amp;$C17,$J$2:$J$9,0))))</f>
        <v>607.67026334333707</v>
      </c>
      <c r="T17" s="119">
        <f ca="1">SUM(OFFSET('Output data (results)'!$B$10,T$15-2000+INDEX($I$2:$I$4,MATCH($B$1,$H$2:$H$4,0)),INDEX($M$2:$M$9,MATCH($B17&amp;$C17,$J$2:$J$9,0)),1,INDEX($N$2:$N$9,MATCH($B17&amp;$C17,$J$2:$J$9,0))))</f>
        <v>584.9061220143484</v>
      </c>
      <c r="U17" s="119">
        <f ca="1">SUM(OFFSET('Output data (results)'!$B$10,U$15-2000+INDEX($I$2:$I$4,MATCH($B$1,$H$2:$H$4,0)),INDEX($M$2:$M$9,MATCH($B17&amp;$C17,$J$2:$J$9,0)),1,INDEX($N$2:$N$9,MATCH($B17&amp;$C17,$J$2:$J$9,0))))</f>
        <v>562.89213295833292</v>
      </c>
      <c r="V17" s="119">
        <f ca="1">SUM(OFFSET('Output data (results)'!$B$10,V$15-2000+INDEX($I$2:$I$4,MATCH($B$1,$H$2:$H$4,0)),INDEX($M$2:$M$9,MATCH($B17&amp;$C17,$J$2:$J$9,0)),1,INDEX($N$2:$N$9,MATCH($B17&amp;$C17,$J$2:$J$9,0))))</f>
        <v>541.56346267223944</v>
      </c>
      <c r="W17" s="119">
        <f ca="1">SUM(OFFSET('Output data (results)'!$B$10,W$15-2000+INDEX($I$2:$I$4,MATCH($B$1,$H$2:$H$4,0)),INDEX($M$2:$M$9,MATCH($B17&amp;$C17,$J$2:$J$9,0)),1,INDEX($N$2:$N$9,MATCH($B17&amp;$C17,$J$2:$J$9,0))))</f>
        <v>520.85789880624964</v>
      </c>
      <c r="X17" s="119">
        <f ca="1">SUM(OFFSET('Output data (results)'!$B$10,X$15-2000+INDEX($I$2:$I$4,MATCH($B$1,$H$2:$H$4,0)),INDEX($M$2:$M$9,MATCH($B17&amp;$C17,$J$2:$J$9,0)),1,INDEX($N$2:$N$9,MATCH($B17&amp;$C17,$J$2:$J$9,0))))</f>
        <v>500.59055711760493</v>
      </c>
      <c r="Y17" s="119">
        <f ca="1">SUM(OFFSET('Output data (results)'!$B$10,Y$15-2000+INDEX($I$2:$I$4,MATCH($B$1,$H$2:$H$4,0)),INDEX($M$2:$M$9,MATCH($B17&amp;$C17,$J$2:$J$9,0)),1,INDEX($N$2:$N$9,MATCH($B17&amp;$C17,$J$2:$J$9,0))))</f>
        <v>480.73776143771016</v>
      </c>
      <c r="Z17" s="119">
        <f ca="1">SUM(OFFSET('Output data (results)'!$B$10,Z$15-2000+INDEX($I$2:$I$4,MATCH($B$1,$H$2:$H$4,0)),INDEX($M$2:$M$9,MATCH($B17&amp;$C17,$J$2:$J$9,0)),1,INDEX($N$2:$N$9,MATCH($B17&amp;$C17,$J$2:$J$9,0))))</f>
        <v>461.86477488535826</v>
      </c>
      <c r="AA17" s="119">
        <f ca="1">SUM(OFFSET('Output data (results)'!$B$10,AA$15-2000+INDEX($I$2:$I$4,MATCH($B$1,$H$2:$H$4,0)),INDEX($M$2:$M$9,MATCH($B17&amp;$C17,$J$2:$J$9,0)),1,INDEX($N$2:$N$9,MATCH($B17&amp;$C17,$J$2:$J$9,0))))</f>
        <v>443.92382582036652</v>
      </c>
      <c r="AB17" s="119">
        <f ca="1">SUM(OFFSET('Output data (results)'!$B$10,AB$15-2000+INDEX($I$2:$I$4,MATCH($B$1,$H$2:$H$4,0)),INDEX($M$2:$M$9,MATCH($B17&amp;$C17,$J$2:$J$9,0)),1,INDEX($N$2:$N$9,MATCH($B17&amp;$C17,$J$2:$J$9,0))))</f>
        <v>426.86947044536959</v>
      </c>
      <c r="AC17" s="119">
        <f ca="1">SUM(OFFSET('Output data (results)'!$B$10,AC$15-2000+INDEX($I$2:$I$4,MATCH($B$1,$H$2:$H$4,0)),INDEX($M$2:$M$9,MATCH($B17&amp;$C17,$J$2:$J$9,0)),1,INDEX($N$2:$N$9,MATCH($B17&amp;$C17,$J$2:$J$9,0))))</f>
        <v>410.65655452082513</v>
      </c>
      <c r="AD17" s="119">
        <f ca="1">SUM(OFFSET('Output data (results)'!$B$10,AD$15-2000+INDEX($I$2:$I$4,MATCH($B$1,$H$2:$H$4,0)),INDEX($M$2:$M$9,MATCH($B17&amp;$C17,$J$2:$J$9,0)),1,INDEX($N$2:$N$9,MATCH($B17&amp;$C17,$J$2:$J$9,0))))</f>
        <v>395.24407009589083</v>
      </c>
      <c r="AE17" s="119">
        <f ca="1">SUM(OFFSET('Output data (results)'!$B$10,AE$15-2000+INDEX($I$2:$I$4,MATCH($B$1,$H$2:$H$4,0)),INDEX($M$2:$M$9,MATCH($B17&amp;$C17,$J$2:$J$9,0)),1,INDEX($N$2:$N$9,MATCH($B17&amp;$C17,$J$2:$J$9,0))))</f>
        <v>380.59300656440661</v>
      </c>
      <c r="AF17" s="119">
        <f ca="1">SUM(OFFSET('Output data (results)'!$B$10,AF$15-2000+INDEX($I$2:$I$4,MATCH($B$1,$H$2:$H$4,0)),INDEX($M$2:$M$9,MATCH($B17&amp;$C17,$J$2:$J$9,0)),1,INDEX($N$2:$N$9,MATCH($B17&amp;$C17,$J$2:$J$9,0))))</f>
        <v>366.66625346817557</v>
      </c>
      <c r="AG17" s="119">
        <f ca="1">SUM(OFFSET('Output data (results)'!$B$10,AG$15-2000+INDEX($I$2:$I$4,MATCH($B$1,$H$2:$H$4,0)),INDEX($M$2:$M$9,MATCH($B17&amp;$C17,$J$2:$J$9,0)),1,INDEX($N$2:$N$9,MATCH($B17&amp;$C17,$J$2:$J$9,0))))</f>
        <v>353.42850802738349</v>
      </c>
      <c r="AH17" s="119">
        <f ca="1">SUM(OFFSET('Output data (results)'!$B$10,AH$15-2000+INDEX($I$2:$I$4,MATCH($B$1,$H$2:$H$4,0)),INDEX($M$2:$M$9,MATCH($B17&amp;$C17,$J$2:$J$9,0)),1,INDEX($N$2:$N$9,MATCH($B17&amp;$C17,$J$2:$J$9,0))))</f>
        <v>340.84444622986524</v>
      </c>
      <c r="AI17" s="119">
        <f ca="1">SUM(OFFSET('Output data (results)'!$B$10,AI$15-2000+INDEX($I$2:$I$4,MATCH($B$1,$H$2:$H$4,0)),INDEX($M$2:$M$9,MATCH($B17&amp;$C17,$J$2:$J$9,0)),1,INDEX($N$2:$N$9,MATCH($B17&amp;$C17,$J$2:$J$9,0))))</f>
        <v>328.88222166055414</v>
      </c>
      <c r="AJ17" s="119">
        <f ca="1">SUM(OFFSET('Output data (results)'!$B$10,AJ$15-2000+INDEX($I$2:$I$4,MATCH($B$1,$H$2:$H$4,0)),INDEX($M$2:$M$9,MATCH($B17&amp;$C17,$J$2:$J$9,0)),1,INDEX($N$2:$N$9,MATCH($B17&amp;$C17,$J$2:$J$9,0))))</f>
        <v>317.5115384851</v>
      </c>
      <c r="AK17" s="119">
        <f ca="1">SUM(OFFSET('Output data (results)'!$B$10,AK$15-2000+INDEX($I$2:$I$4,MATCH($B$1,$H$2:$H$4,0)),INDEX($M$2:$M$9,MATCH($B17&amp;$C17,$J$2:$J$9,0)),1,INDEX($N$2:$N$9,MATCH($B17&amp;$C17,$J$2:$J$9,0))))</f>
        <v>306.70357601527076</v>
      </c>
      <c r="AL17" s="119">
        <f ca="1">SUM(OFFSET('Output data (results)'!$B$10,AL$15-2000+INDEX($I$2:$I$4,MATCH($B$1,$H$2:$H$4,0)),INDEX($M$2:$M$9,MATCH($B17&amp;$C17,$J$2:$J$9,0)),1,INDEX($N$2:$N$9,MATCH($B17&amp;$C17,$J$2:$J$9,0))))</f>
        <v>296.84364058258222</v>
      </c>
      <c r="AM17" s="119">
        <f ca="1">SUM(OFFSET('Output data (results)'!$B$10,AM$15-2000+INDEX($I$2:$I$4,MATCH($B$1,$H$2:$H$4,0)),INDEX($M$2:$M$9,MATCH($B17&amp;$C17,$J$2:$J$9,0)),1,INDEX($N$2:$N$9,MATCH($B17&amp;$C17,$J$2:$J$9,0))))</f>
        <v>288.11401872942531</v>
      </c>
      <c r="AN17" s="119">
        <f ca="1">SUM(OFFSET('Output data (results)'!$B$10,AN$15-2000+INDEX($I$2:$I$4,MATCH($B$1,$H$2:$H$4,0)),INDEX($M$2:$M$9,MATCH($B17&amp;$C17,$J$2:$J$9,0)),1,INDEX($N$2:$N$9,MATCH($B17&amp;$C17,$J$2:$J$9,0))))</f>
        <v>280.45934265858983</v>
      </c>
      <c r="AO17" s="119">
        <f ca="1">SUM(OFFSET('Output data (results)'!$B$10,AO$15-2000+INDEX($I$2:$I$4,MATCH($B$1,$H$2:$H$4,0)),INDEX($M$2:$M$9,MATCH($B17&amp;$C17,$J$2:$J$9,0)),1,INDEX($N$2:$N$9,MATCH($B17&amp;$C17,$J$2:$J$9,0))))</f>
        <v>273.82764260756721</v>
      </c>
      <c r="AP17" s="119">
        <f ca="1">SUM(OFFSET('Output data (results)'!$B$10,AP$15-2000+INDEX($I$2:$I$4,MATCH($B$1,$H$2:$H$4,0)),INDEX($M$2:$M$9,MATCH($B17&amp;$C17,$J$2:$J$9,0)),1,INDEX($N$2:$N$9,MATCH($B17&amp;$C17,$J$2:$J$9,0))))</f>
        <v>268.17009901589267</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24.575240697999657</v>
      </c>
      <c r="L18" s="119">
        <f ca="1">SUM(OFFSET('Output data (results)'!$B$10,L$15-2000+INDEX($I$2:$I$4,MATCH($B$1,$H$2:$H$4,0)),INDEX($M$2:$M$9,MATCH($B18&amp;$C18,$J$2:$J$9,0)),1,INDEX($N$2:$N$9,MATCH($B18&amp;$C18,$J$2:$J$9,0))))</f>
        <v>26.793328595392971</v>
      </c>
      <c r="M18" s="119">
        <f ca="1">SUM(OFFSET('Output data (results)'!$B$10,M$15-2000+INDEX($I$2:$I$4,MATCH($B$1,$H$2:$H$4,0)),INDEX($M$2:$M$9,MATCH($B18&amp;$C18,$J$2:$J$9,0)),1,INDEX($N$2:$N$9,MATCH($B18&amp;$C18,$J$2:$J$9,0))))</f>
        <v>32.513474313706816</v>
      </c>
      <c r="N18" s="119">
        <f ca="1">SUM(OFFSET('Output data (results)'!$B$10,N$15-2000+INDEX($I$2:$I$4,MATCH($B$1,$H$2:$H$4,0)),INDEX($M$2:$M$9,MATCH($B18&amp;$C18,$J$2:$J$9,0)),1,INDEX($N$2:$N$9,MATCH($B18&amp;$C18,$J$2:$J$9,0))))</f>
        <v>35.289829385775548</v>
      </c>
      <c r="O18" s="119">
        <f ca="1">SUM(OFFSET('Output data (results)'!$B$10,O$15-2000+INDEX($I$2:$I$4,MATCH($B$1,$H$2:$H$4,0)),INDEX($M$2:$M$9,MATCH($B18&amp;$C18,$J$2:$J$9,0)),1,INDEX($N$2:$N$9,MATCH($B18&amp;$C18,$J$2:$J$9,0))))</f>
        <v>35.44619843572687</v>
      </c>
      <c r="P18" s="119">
        <f ca="1">SUM(OFFSET('Output data (results)'!$B$10,P$15-2000+INDEX($I$2:$I$4,MATCH($B$1,$H$2:$H$4,0)),INDEX($M$2:$M$9,MATCH($B18&amp;$C18,$J$2:$J$9,0)),1,INDEX($N$2:$N$9,MATCH($B18&amp;$C18,$J$2:$J$9,0))))</f>
        <v>35.62056750640555</v>
      </c>
      <c r="Q18" s="119">
        <f ca="1">SUM(OFFSET('Output data (results)'!$B$10,Q$15-2000+INDEX($I$2:$I$4,MATCH($B$1,$H$2:$H$4,0)),INDEX($M$2:$M$9,MATCH($B18&amp;$C18,$J$2:$J$9,0)),1,INDEX($N$2:$N$9,MATCH($B18&amp;$C18,$J$2:$J$9,0))))</f>
        <v>35.818318612671092</v>
      </c>
      <c r="R18" s="119">
        <f ca="1">SUM(OFFSET('Output data (results)'!$B$10,R$15-2000+INDEX($I$2:$I$4,MATCH($B$1,$H$2:$H$4,0)),INDEX($M$2:$M$9,MATCH($B18&amp;$C18,$J$2:$J$9,0)),1,INDEX($N$2:$N$9,MATCH($B18&amp;$C18,$J$2:$J$9,0))))</f>
        <v>36.026555467515742</v>
      </c>
      <c r="S18" s="119">
        <f ca="1">SUM(OFFSET('Output data (results)'!$B$10,S$15-2000+INDEX($I$2:$I$4,MATCH($B$1,$H$2:$H$4,0)),INDEX($M$2:$M$9,MATCH($B18&amp;$C18,$J$2:$J$9,0)),1,INDEX($N$2:$N$9,MATCH($B18&amp;$C18,$J$2:$J$9,0))))</f>
        <v>36.252156579238452</v>
      </c>
      <c r="T18" s="119">
        <f ca="1">SUM(OFFSET('Output data (results)'!$B$10,T$15-2000+INDEX($I$2:$I$4,MATCH($B$1,$H$2:$H$4,0)),INDEX($M$2:$M$9,MATCH($B18&amp;$C18,$J$2:$J$9,0)),1,INDEX($N$2:$N$9,MATCH($B18&amp;$C18,$J$2:$J$9,0))))</f>
        <v>36.475828993022233</v>
      </c>
      <c r="U18" s="119">
        <f ca="1">SUM(OFFSET('Output data (results)'!$B$10,U$15-2000+INDEX($I$2:$I$4,MATCH($B$1,$H$2:$H$4,0)),INDEX($M$2:$M$9,MATCH($B18&amp;$C18,$J$2:$J$9,0)),1,INDEX($N$2:$N$9,MATCH($B18&amp;$C18,$J$2:$J$9,0))))</f>
        <v>36.716258531229286</v>
      </c>
      <c r="V18" s="119">
        <f ca="1">SUM(OFFSET('Output data (results)'!$B$10,V$15-2000+INDEX($I$2:$I$4,MATCH($B$1,$H$2:$H$4,0)),INDEX($M$2:$M$9,MATCH($B18&amp;$C18,$J$2:$J$9,0)),1,INDEX($N$2:$N$9,MATCH($B18&amp;$C18,$J$2:$J$9,0))))</f>
        <v>36.956698483213827</v>
      </c>
      <c r="W18" s="119">
        <f ca="1">SUM(OFFSET('Output data (results)'!$B$10,W$15-2000+INDEX($I$2:$I$4,MATCH($B$1,$H$2:$H$4,0)),INDEX($M$2:$M$9,MATCH($B18&amp;$C18,$J$2:$J$9,0)),1,INDEX($N$2:$N$9,MATCH($B18&amp;$C18,$J$2:$J$9,0))))</f>
        <v>37.238022655644869</v>
      </c>
      <c r="X18" s="119">
        <f ca="1">SUM(OFFSET('Output data (results)'!$B$10,X$15-2000+INDEX($I$2:$I$4,MATCH($B$1,$H$2:$H$4,0)),INDEX($M$2:$M$9,MATCH($B18&amp;$C18,$J$2:$J$9,0)),1,INDEX($N$2:$N$9,MATCH($B18&amp;$C18,$J$2:$J$9,0))))</f>
        <v>37.535169422787519</v>
      </c>
      <c r="Y18" s="119">
        <f ca="1">SUM(OFFSET('Output data (results)'!$B$10,Y$15-2000+INDEX($I$2:$I$4,MATCH($B$1,$H$2:$H$4,0)),INDEX($M$2:$M$9,MATCH($B18&amp;$C18,$J$2:$J$9,0)),1,INDEX($N$2:$N$9,MATCH($B18&amp;$C18,$J$2:$J$9,0))))</f>
        <v>37.84697162302627</v>
      </c>
      <c r="Z18" s="119">
        <f ca="1">SUM(OFFSET('Output data (results)'!$B$10,Z$15-2000+INDEX($I$2:$I$4,MATCH($B$1,$H$2:$H$4,0)),INDEX($M$2:$M$9,MATCH($B18&amp;$C18,$J$2:$J$9,0)),1,INDEX($N$2:$N$9,MATCH($B18&amp;$C18,$J$2:$J$9,0))))</f>
        <v>38.19944304798112</v>
      </c>
      <c r="AA18" s="119">
        <f ca="1">SUM(OFFSET('Output data (results)'!$B$10,AA$15-2000+INDEX($I$2:$I$4,MATCH($B$1,$H$2:$H$4,0)),INDEX($M$2:$M$9,MATCH($B18&amp;$C18,$J$2:$J$9,0)),1,INDEX($N$2:$N$9,MATCH($B18&amp;$C18,$J$2:$J$9,0))))</f>
        <v>38.535552710458525</v>
      </c>
      <c r="AB18" s="119">
        <f ca="1">SUM(OFFSET('Output data (results)'!$B$10,AB$15-2000+INDEX($I$2:$I$4,MATCH($B$1,$H$2:$H$4,0)),INDEX($M$2:$M$9,MATCH($B18&amp;$C18,$J$2:$J$9,0)),1,INDEX($N$2:$N$9,MATCH($B18&amp;$C18,$J$2:$J$9,0))))</f>
        <v>38.893983337173523</v>
      </c>
      <c r="AC18" s="119">
        <f ca="1">SUM(OFFSET('Output data (results)'!$B$10,AC$15-2000+INDEX($I$2:$I$4,MATCH($B$1,$H$2:$H$4,0)),INDEX($M$2:$M$9,MATCH($B18&amp;$C18,$J$2:$J$9,0)),1,INDEX($N$2:$N$9,MATCH($B18&amp;$C18,$J$2:$J$9,0))))</f>
        <v>39.29009986669454</v>
      </c>
      <c r="AD18" s="119">
        <f ca="1">SUM(OFFSET('Output data (results)'!$B$10,AD$15-2000+INDEX($I$2:$I$4,MATCH($B$1,$H$2:$H$4,0)),INDEX($M$2:$M$9,MATCH($B18&amp;$C18,$J$2:$J$9,0)),1,INDEX($N$2:$N$9,MATCH($B18&amp;$C18,$J$2:$J$9,0))))</f>
        <v>39.666106836341406</v>
      </c>
      <c r="AE18" s="119">
        <f ca="1">SUM(OFFSET('Output data (results)'!$B$10,AE$15-2000+INDEX($I$2:$I$4,MATCH($B$1,$H$2:$H$4,0)),INDEX($M$2:$M$9,MATCH($B18&amp;$C18,$J$2:$J$9,0)),1,INDEX($N$2:$N$9,MATCH($B18&amp;$C18,$J$2:$J$9,0))))</f>
        <v>40.044624864430823</v>
      </c>
      <c r="AF18" s="119">
        <f ca="1">SUM(OFFSET('Output data (results)'!$B$10,AF$15-2000+INDEX($I$2:$I$4,MATCH($B$1,$H$2:$H$4,0)),INDEX($M$2:$M$9,MATCH($B18&amp;$C18,$J$2:$J$9,0)),1,INDEX($N$2:$N$9,MATCH($B18&amp;$C18,$J$2:$J$9,0))))</f>
        <v>40.431803293721288</v>
      </c>
      <c r="AG18" s="119">
        <f ca="1">SUM(OFFSET('Output data (results)'!$B$10,AG$15-2000+INDEX($I$2:$I$4,MATCH($B$1,$H$2:$H$4,0)),INDEX($M$2:$M$9,MATCH($B18&amp;$C18,$J$2:$J$9,0)),1,INDEX($N$2:$N$9,MATCH($B18&amp;$C18,$J$2:$J$9,0))))</f>
        <v>40.83369397138371</v>
      </c>
      <c r="AH18" s="119">
        <f ca="1">SUM(OFFSET('Output data (results)'!$B$10,AH$15-2000+INDEX($I$2:$I$4,MATCH($B$1,$H$2:$H$4,0)),INDEX($M$2:$M$9,MATCH($B18&amp;$C18,$J$2:$J$9,0)),1,INDEX($N$2:$N$9,MATCH($B18&amp;$C18,$J$2:$J$9,0))))</f>
        <v>41.220121915761339</v>
      </c>
      <c r="AI18" s="119">
        <f ca="1">SUM(OFFSET('Output data (results)'!$B$10,AI$15-2000+INDEX($I$2:$I$4,MATCH($B$1,$H$2:$H$4,0)),INDEX($M$2:$M$9,MATCH($B18&amp;$C18,$J$2:$J$9,0)),1,INDEX($N$2:$N$9,MATCH($B18&amp;$C18,$J$2:$J$9,0))))</f>
        <v>41.617517158283967</v>
      </c>
      <c r="AJ18" s="119">
        <f ca="1">SUM(OFFSET('Output data (results)'!$B$10,AJ$15-2000+INDEX($I$2:$I$4,MATCH($B$1,$H$2:$H$4,0)),INDEX($M$2:$M$9,MATCH($B18&amp;$C18,$J$2:$J$9,0)),1,INDEX($N$2:$N$9,MATCH($B18&amp;$C18,$J$2:$J$9,0))))</f>
        <v>42.030539497077726</v>
      </c>
      <c r="AK18" s="119">
        <f ca="1">SUM(OFFSET('Output data (results)'!$B$10,AK$15-2000+INDEX($I$2:$I$4,MATCH($B$1,$H$2:$H$4,0)),INDEX($M$2:$M$9,MATCH($B18&amp;$C18,$J$2:$J$9,0)),1,INDEX($N$2:$N$9,MATCH($B18&amp;$C18,$J$2:$J$9,0))))</f>
        <v>42.45934089658499</v>
      </c>
      <c r="AL18" s="119">
        <f ca="1">SUM(OFFSET('Output data (results)'!$B$10,AL$15-2000+INDEX($I$2:$I$4,MATCH($B$1,$H$2:$H$4,0)),INDEX($M$2:$M$9,MATCH($B18&amp;$C18,$J$2:$J$9,0)),1,INDEX($N$2:$N$9,MATCH($B18&amp;$C18,$J$2:$J$9,0))))</f>
        <v>42.889349934148711</v>
      </c>
      <c r="AM18" s="119">
        <f ca="1">SUM(OFFSET('Output data (results)'!$B$10,AM$15-2000+INDEX($I$2:$I$4,MATCH($B$1,$H$2:$H$4,0)),INDEX($M$2:$M$9,MATCH($B18&amp;$C18,$J$2:$J$9,0)),1,INDEX($N$2:$N$9,MATCH($B18&amp;$C18,$J$2:$J$9,0))))</f>
        <v>42.985844481482523</v>
      </c>
      <c r="AN18" s="119">
        <f ca="1">SUM(OFFSET('Output data (results)'!$B$10,AN$15-2000+INDEX($I$2:$I$4,MATCH($B$1,$H$2:$H$4,0)),INDEX($M$2:$M$9,MATCH($B18&amp;$C18,$J$2:$J$9,0)),1,INDEX($N$2:$N$9,MATCH($B18&amp;$C18,$J$2:$J$9,0))))</f>
        <v>43.043504399412939</v>
      </c>
      <c r="AO18" s="119">
        <f ca="1">SUM(OFFSET('Output data (results)'!$B$10,AO$15-2000+INDEX($I$2:$I$4,MATCH($B$1,$H$2:$H$4,0)),INDEX($M$2:$M$9,MATCH($B18&amp;$C18,$J$2:$J$9,0)),1,INDEX($N$2:$N$9,MATCH($B18&amp;$C18,$J$2:$J$9,0))))</f>
        <v>43.103180044935307</v>
      </c>
      <c r="AP18" s="119">
        <f ca="1">SUM(OFFSET('Output data (results)'!$B$10,AP$15-2000+INDEX($I$2:$I$4,MATCH($B$1,$H$2:$H$4,0)),INDEX($M$2:$M$9,MATCH($B18&amp;$C18,$J$2:$J$9,0)),1,INDEX($N$2:$N$9,MATCH($B18&amp;$C18,$J$2:$J$9,0))))</f>
        <v>43.146827088290117</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11.075578903881526</v>
      </c>
      <c r="K19" s="119">
        <f ca="1">SUM(OFFSET('Output data (results)'!$B$10,K$15-2000+INDEX($I$2:$I$4,MATCH($B$1,$H$2:$H$4,0)),INDEX($M$2:$M$9,MATCH($B19&amp;$C19,$J$2:$J$9,0)),1,INDEX($N$2:$N$9,MATCH($B19&amp;$C19,$J$2:$J$9,0))))</f>
        <v>10.881522615437561</v>
      </c>
      <c r="L19" s="119">
        <f ca="1">SUM(OFFSET('Output data (results)'!$B$10,L$15-2000+INDEX($I$2:$I$4,MATCH($B$1,$H$2:$H$4,0)),INDEX($M$2:$M$9,MATCH($B19&amp;$C19,$J$2:$J$9,0)),1,INDEX($N$2:$N$9,MATCH($B19&amp;$C19,$J$2:$J$9,0))))</f>
        <v>10.588469423197822</v>
      </c>
      <c r="M19" s="119">
        <f ca="1">SUM(OFFSET('Output data (results)'!$B$10,M$15-2000+INDEX($I$2:$I$4,MATCH($B$1,$H$2:$H$4,0)),INDEX($M$2:$M$9,MATCH($B19&amp;$C19,$J$2:$J$9,0)),1,INDEX($N$2:$N$9,MATCH($B19&amp;$C19,$J$2:$J$9,0))))</f>
        <v>9.7343998861328558</v>
      </c>
      <c r="N19" s="119">
        <f ca="1">SUM(OFFSET('Output data (results)'!$B$10,N$15-2000+INDEX($I$2:$I$4,MATCH($B$1,$H$2:$H$4,0)),INDEX($M$2:$M$9,MATCH($B19&amp;$C19,$J$2:$J$9,0)),1,INDEX($N$2:$N$9,MATCH($B19&amp;$C19,$J$2:$J$9,0))))</f>
        <v>8.1015081782510823</v>
      </c>
      <c r="O19" s="119">
        <f ca="1">SUM(OFFSET('Output data (results)'!$B$10,O$15-2000+INDEX($I$2:$I$4,MATCH($B$1,$H$2:$H$4,0)),INDEX($M$2:$M$9,MATCH($B19&amp;$C19,$J$2:$J$9,0)),1,INDEX($N$2:$N$9,MATCH($B19&amp;$C19,$J$2:$J$9,0))))</f>
        <v>7.6831819504283345</v>
      </c>
      <c r="P19" s="119">
        <f ca="1">SUM(OFFSET('Output data (results)'!$B$10,P$15-2000+INDEX($I$2:$I$4,MATCH($B$1,$H$2:$H$4,0)),INDEX($M$2:$M$9,MATCH($B19&amp;$C19,$J$2:$J$9,0)),1,INDEX($N$2:$N$9,MATCH($B19&amp;$C19,$J$2:$J$9,0))))</f>
        <v>7.2576902922415494</v>
      </c>
      <c r="Q19" s="119">
        <f ca="1">SUM(OFFSET('Output data (results)'!$B$10,Q$15-2000+INDEX($I$2:$I$4,MATCH($B$1,$H$2:$H$4,0)),INDEX($M$2:$M$9,MATCH($B19&amp;$C19,$J$2:$J$9,0)),1,INDEX($N$2:$N$9,MATCH($B19&amp;$C19,$J$2:$J$9,0))))</f>
        <v>6.8247722059740834</v>
      </c>
      <c r="R19" s="119">
        <f ca="1">SUM(OFFSET('Output data (results)'!$B$10,R$15-2000+INDEX($I$2:$I$4,MATCH($B$1,$H$2:$H$4,0)),INDEX($M$2:$M$9,MATCH($B19&amp;$C19,$J$2:$J$9,0)),1,INDEX($N$2:$N$9,MATCH($B19&amp;$C19,$J$2:$J$9,0))))</f>
        <v>6.3879345628548228</v>
      </c>
      <c r="S19" s="119">
        <f ca="1">SUM(OFFSET('Output data (results)'!$B$10,S$15-2000+INDEX($I$2:$I$4,MATCH($B$1,$H$2:$H$4,0)),INDEX($M$2:$M$9,MATCH($B19&amp;$C19,$J$2:$J$9,0)),1,INDEX($N$2:$N$9,MATCH($B19&amp;$C19,$J$2:$J$9,0))))</f>
        <v>5.9425799565861794</v>
      </c>
      <c r="T19" s="119">
        <f ca="1">SUM(OFFSET('Output data (results)'!$B$10,T$15-2000+INDEX($I$2:$I$4,MATCH($B$1,$H$2:$H$4,0)),INDEX($M$2:$M$9,MATCH($B19&amp;$C19,$J$2:$J$9,0)),1,INDEX($N$2:$N$9,MATCH($B19&amp;$C19,$J$2:$J$9,0))))</f>
        <v>5.48840089387914</v>
      </c>
      <c r="U19" s="119">
        <f ca="1">SUM(OFFSET('Output data (results)'!$B$10,U$15-2000+INDEX($I$2:$I$4,MATCH($B$1,$H$2:$H$4,0)),INDEX($M$2:$M$9,MATCH($B19&amp;$C19,$J$2:$J$9,0)),1,INDEX($N$2:$N$9,MATCH($B19&amp;$C19,$J$2:$J$9,0))))</f>
        <v>5.0250760593777697</v>
      </c>
      <c r="V19" s="119">
        <f ca="1">SUM(OFFSET('Output data (results)'!$B$10,V$15-2000+INDEX($I$2:$I$4,MATCH($B$1,$H$2:$H$4,0)),INDEX($M$2:$M$9,MATCH($B19&amp;$C19,$J$2:$J$9,0)),1,INDEX($N$2:$N$9,MATCH($B19&amp;$C19,$J$2:$J$9,0))))</f>
        <v>4.5522695086755505</v>
      </c>
      <c r="W19" s="119">
        <f ca="1">SUM(OFFSET('Output data (results)'!$B$10,W$15-2000+INDEX($I$2:$I$4,MATCH($B$1,$H$2:$H$4,0)),INDEX($M$2:$M$9,MATCH($B19&amp;$C19,$J$2:$J$9,0)),1,INDEX($N$2:$N$9,MATCH($B19&amp;$C19,$J$2:$J$9,0))))</f>
        <v>4.014793147903057</v>
      </c>
      <c r="X19" s="119">
        <f ca="1">SUM(OFFSET('Output data (results)'!$B$10,X$15-2000+INDEX($I$2:$I$4,MATCH($B$1,$H$2:$H$4,0)),INDEX($M$2:$M$9,MATCH($B19&amp;$C19,$J$2:$J$9,0)),1,INDEX($N$2:$N$9,MATCH($B19&amp;$C19,$J$2:$J$9,0))))</f>
        <v>3.4806564805625984</v>
      </c>
      <c r="Y19" s="119">
        <f ca="1">SUM(OFFSET('Output data (results)'!$B$10,Y$15-2000+INDEX($I$2:$I$4,MATCH($B$1,$H$2:$H$4,0)),INDEX($M$2:$M$9,MATCH($B19&amp;$C19,$J$2:$J$9,0)),1,INDEX($N$2:$N$9,MATCH($B19&amp;$C19,$J$2:$J$9,0))))</f>
        <v>3.4703388628638314</v>
      </c>
      <c r="Z19" s="119">
        <f ca="1">SUM(OFFSET('Output data (results)'!$B$10,Z$15-2000+INDEX($I$2:$I$4,MATCH($B$1,$H$2:$H$4,0)),INDEX($M$2:$M$9,MATCH($B19&amp;$C19,$J$2:$J$9,0)),1,INDEX($N$2:$N$9,MATCH($B19&amp;$C19,$J$2:$J$9,0))))</f>
        <v>3.4601687706699158</v>
      </c>
      <c r="AA19" s="119">
        <f ca="1">SUM(OFFSET('Output data (results)'!$B$10,AA$15-2000+INDEX($I$2:$I$4,MATCH($B$1,$H$2:$H$4,0)),INDEX($M$2:$M$9,MATCH($B19&amp;$C19,$J$2:$J$9,0)),1,INDEX($N$2:$N$9,MATCH($B19&amp;$C19,$J$2:$J$9,0))))</f>
        <v>3.450143421804122</v>
      </c>
      <c r="AB19" s="119">
        <f ca="1">SUM(OFFSET('Output data (results)'!$B$10,AB$15-2000+INDEX($I$2:$I$4,MATCH($B$1,$H$2:$H$4,0)),INDEX($M$2:$M$9,MATCH($B19&amp;$C19,$J$2:$J$9,0)),1,INDEX($N$2:$N$9,MATCH($B19&amp;$C19,$J$2:$J$9,0))))</f>
        <v>3.4416513364396093</v>
      </c>
      <c r="AC19" s="119">
        <f ca="1">SUM(OFFSET('Output data (results)'!$B$10,AC$15-2000+INDEX($I$2:$I$4,MATCH($B$1,$H$2:$H$4,0)),INDEX($M$2:$M$9,MATCH($B19&amp;$C19,$J$2:$J$9,0)),1,INDEX($N$2:$N$9,MATCH($B19&amp;$C19,$J$2:$J$9,0))))</f>
        <v>3.4332622200210539</v>
      </c>
      <c r="AD19" s="119">
        <f ca="1">SUM(OFFSET('Output data (results)'!$B$10,AD$15-2000+INDEX($I$2:$I$4,MATCH($B$1,$H$2:$H$4,0)),INDEX($M$2:$M$9,MATCH($B19&amp;$C19,$J$2:$J$9,0)),1,INDEX($N$2:$N$9,MATCH($B19&amp;$C19,$J$2:$J$9,0))))</f>
        <v>3.4249744302095286</v>
      </c>
      <c r="AE19" s="119">
        <f ca="1">SUM(OFFSET('Output data (results)'!$B$10,AE$15-2000+INDEX($I$2:$I$4,MATCH($B$1,$H$2:$H$4,0)),INDEX($M$2:$M$9,MATCH($B19&amp;$C19,$J$2:$J$9,0)),1,INDEX($N$2:$N$9,MATCH($B19&amp;$C19,$J$2:$J$9,0))))</f>
        <v>3.4167863587741936</v>
      </c>
      <c r="AF19" s="119">
        <f ca="1">SUM(OFFSET('Output data (results)'!$B$10,AF$15-2000+INDEX($I$2:$I$4,MATCH($B$1,$H$2:$H$4,0)),INDEX($M$2:$M$9,MATCH($B19&amp;$C19,$J$2:$J$9,0)),1,INDEX($N$2:$N$9,MATCH($B19&amp;$C19,$J$2:$J$9,0))))</f>
        <v>3.4086964307102301</v>
      </c>
      <c r="AG19" s="119">
        <f ca="1">SUM(OFFSET('Output data (results)'!$B$10,AG$15-2000+INDEX($I$2:$I$4,MATCH($B$1,$H$2:$H$4,0)),INDEX($M$2:$M$9,MATCH($B19&amp;$C19,$J$2:$J$9,0)),1,INDEX($N$2:$N$9,MATCH($B19&amp;$C19,$J$2:$J$9,0))))</f>
        <v>3.4019053803835613</v>
      </c>
      <c r="AH19" s="119">
        <f ca="1">SUM(OFFSET('Output data (results)'!$B$10,AH$15-2000+INDEX($I$2:$I$4,MATCH($B$1,$H$2:$H$4,0)),INDEX($M$2:$M$9,MATCH($B19&amp;$C19,$J$2:$J$9,0)),1,INDEX($N$2:$N$9,MATCH($B19&amp;$C19,$J$2:$J$9,0))))</f>
        <v>3.3951830046783922</v>
      </c>
      <c r="AI19" s="119">
        <f ca="1">SUM(OFFSET('Output data (results)'!$B$10,AI$15-2000+INDEX($I$2:$I$4,MATCH($B$1,$H$2:$H$4,0)),INDEX($M$2:$M$9,MATCH($B19&amp;$C19,$J$2:$J$9,0)),1,INDEX($N$2:$N$9,MATCH($B19&amp;$C19,$J$2:$J$9,0))))</f>
        <v>3.3885283940442661</v>
      </c>
      <c r="AJ19" s="119">
        <f ca="1">SUM(OFFSET('Output data (results)'!$B$10,AJ$15-2000+INDEX($I$2:$I$4,MATCH($B$1,$H$2:$H$4,0)),INDEX($M$2:$M$9,MATCH($B19&amp;$C19,$J$2:$J$9,0)),1,INDEX($N$2:$N$9,MATCH($B19&amp;$C19,$J$2:$J$9,0))))</f>
        <v>3.3819406546042359</v>
      </c>
      <c r="AK19" s="119">
        <f ca="1">SUM(OFFSET('Output data (results)'!$B$10,AK$15-2000+INDEX($I$2:$I$4,MATCH($B$1,$H$2:$H$4,0)),INDEX($M$2:$M$9,MATCH($B19&amp;$C19,$J$2:$J$9,0)),1,INDEX($N$2:$N$9,MATCH($B19&amp;$C19,$J$2:$J$9,0))))</f>
        <v>3.3754189078182595</v>
      </c>
      <c r="AL19" s="119">
        <f ca="1">SUM(OFFSET('Output data (results)'!$B$10,AL$15-2000+INDEX($I$2:$I$4,MATCH($B$1,$H$2:$H$4,0)),INDEX($M$2:$M$9,MATCH($B19&amp;$C19,$J$2:$J$9,0)),1,INDEX($N$2:$N$9,MATCH($B19&amp;$C19,$J$2:$J$9,0))))</f>
        <v>3.3701044925782111</v>
      </c>
      <c r="AM19" s="119">
        <f ca="1">SUM(OFFSET('Output data (results)'!$B$10,AM$15-2000+INDEX($I$2:$I$4,MATCH($B$1,$H$2:$H$4,0)),INDEX($M$2:$M$9,MATCH($B19&amp;$C19,$J$2:$J$9,0)),1,INDEX($N$2:$N$9,MATCH($B19&amp;$C19,$J$2:$J$9,0))))</f>
        <v>3.3648336500638756</v>
      </c>
      <c r="AN19" s="119">
        <f ca="1">SUM(OFFSET('Output data (results)'!$B$10,AN$15-2000+INDEX($I$2:$I$4,MATCH($B$1,$H$2:$H$4,0)),INDEX($M$2:$M$9,MATCH($B19&amp;$C19,$J$2:$J$9,0)),1,INDEX($N$2:$N$9,MATCH($B19&amp;$C19,$J$2:$J$9,0))))</f>
        <v>3.3596059140791366</v>
      </c>
      <c r="AO19" s="119">
        <f ca="1">SUM(OFFSET('Output data (results)'!$B$10,AO$15-2000+INDEX($I$2:$I$4,MATCH($B$1,$H$2:$H$4,0)),INDEX($M$2:$M$9,MATCH($B19&amp;$C19,$J$2:$J$9,0)),1,INDEX($N$2:$N$9,MATCH($B19&amp;$C19,$J$2:$J$9,0))))</f>
        <v>3.3544208249136438</v>
      </c>
      <c r="AP19" s="119">
        <f ca="1">SUM(OFFSET('Output data (results)'!$B$10,AP$15-2000+INDEX($I$2:$I$4,MATCH($B$1,$H$2:$H$4,0)),INDEX($M$2:$M$9,MATCH($B19&amp;$C19,$J$2:$J$9,0)),1,INDEX($N$2:$N$9,MATCH($B19&amp;$C19,$J$2:$J$9,0))))</f>
        <v>3.3492779292302703</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137.16052165703309</v>
      </c>
      <c r="K20" s="119">
        <f ca="1">SUM(OFFSET('Output data (results)'!$B$10,K$15-2000+INDEX($I$2:$I$4,MATCH($B$1,$H$2:$H$4,0)),INDEX($M$2:$M$9,MATCH($B20&amp;$C20,$J$2:$J$9,0)),1,INDEX($N$2:$N$9,MATCH($B20&amp;$C20,$J$2:$J$9,0))))</f>
        <v>143.32271319274017</v>
      </c>
      <c r="L20" s="119">
        <f ca="1">SUM(OFFSET('Output data (results)'!$B$10,L$15-2000+INDEX($I$2:$I$4,MATCH($B$1,$H$2:$H$4,0)),INDEX($M$2:$M$9,MATCH($B20&amp;$C20,$J$2:$J$9,0)),1,INDEX($N$2:$N$9,MATCH($B20&amp;$C20,$J$2:$J$9,0))))</f>
        <v>149.64833972612956</v>
      </c>
      <c r="M20" s="119">
        <f ca="1">SUM(OFFSET('Output data (results)'!$B$10,M$15-2000+INDEX($I$2:$I$4,MATCH($B$1,$H$2:$H$4,0)),INDEX($M$2:$M$9,MATCH($B20&amp;$C20,$J$2:$J$9,0)),1,INDEX($N$2:$N$9,MATCH($B20&amp;$C20,$J$2:$J$9,0))))</f>
        <v>155.42542691703585</v>
      </c>
      <c r="N20" s="119">
        <f ca="1">SUM(OFFSET('Output data (results)'!$B$10,N$15-2000+INDEX($I$2:$I$4,MATCH($B$1,$H$2:$H$4,0)),INDEX($M$2:$M$9,MATCH($B20&amp;$C20,$J$2:$J$9,0)),1,INDEX($N$2:$N$9,MATCH($B20&amp;$C20,$J$2:$J$9,0))))</f>
        <v>161.31571105616422</v>
      </c>
      <c r="O20" s="119">
        <f ca="1">SUM(OFFSET('Output data (results)'!$B$10,O$15-2000+INDEX($I$2:$I$4,MATCH($B$1,$H$2:$H$4,0)),INDEX($M$2:$M$9,MATCH($B20&amp;$C20,$J$2:$J$9,0)),1,INDEX($N$2:$N$9,MATCH($B20&amp;$C20,$J$2:$J$9,0))))</f>
        <v>167.32103297774702</v>
      </c>
      <c r="P20" s="119">
        <f ca="1">SUM(OFFSET('Output data (results)'!$B$10,P$15-2000+INDEX($I$2:$I$4,MATCH($B$1,$H$2:$H$4,0)),INDEX($M$2:$M$9,MATCH($B20&amp;$C20,$J$2:$J$9,0)),1,INDEX($N$2:$N$9,MATCH($B20&amp;$C20,$J$2:$J$9,0))))</f>
        <v>173.44326090016418</v>
      </c>
      <c r="Q20" s="119">
        <f ca="1">SUM(OFFSET('Output data (results)'!$B$10,Q$15-2000+INDEX($I$2:$I$4,MATCH($B$1,$H$2:$H$4,0)),INDEX($M$2:$M$9,MATCH($B20&amp;$C20,$J$2:$J$9,0)),1,INDEX($N$2:$N$9,MATCH($B20&amp;$C20,$J$2:$J$9,0))))</f>
        <v>179.68429081250378</v>
      </c>
      <c r="R20" s="119">
        <f ca="1">SUM(OFFSET('Output data (results)'!$B$10,R$15-2000+INDEX($I$2:$I$4,MATCH($B$1,$H$2:$H$4,0)),INDEX($M$2:$M$9,MATCH($B20&amp;$C20,$J$2:$J$9,0)),1,INDEX($N$2:$N$9,MATCH($B20&amp;$C20,$J$2:$J$9,0))))</f>
        <v>185.73930530907452</v>
      </c>
      <c r="S20" s="119">
        <f ca="1">SUM(OFFSET('Output data (results)'!$B$10,S$15-2000+INDEX($I$2:$I$4,MATCH($B$1,$H$2:$H$4,0)),INDEX($M$2:$M$9,MATCH($B20&amp;$C20,$J$2:$J$9,0)),1,INDEX($N$2:$N$9,MATCH($B20&amp;$C20,$J$2:$J$9,0))))</f>
        <v>191.89613972825521</v>
      </c>
      <c r="T20" s="119">
        <f ca="1">SUM(OFFSET('Output data (results)'!$B$10,T$15-2000+INDEX($I$2:$I$4,MATCH($B$1,$H$2:$H$4,0)),INDEX($M$2:$M$9,MATCH($B20&amp;$C20,$J$2:$J$9,0)),1,INDEX($N$2:$N$9,MATCH($B20&amp;$C20,$J$2:$J$9,0))))</f>
        <v>198.15621215016739</v>
      </c>
      <c r="U20" s="119">
        <f ca="1">SUM(OFFSET('Output data (results)'!$B$10,U$15-2000+INDEX($I$2:$I$4,MATCH($B$1,$H$2:$H$4,0)),INDEX($M$2:$M$9,MATCH($B20&amp;$C20,$J$2:$J$9,0)),1,INDEX($N$2:$N$9,MATCH($B20&amp;$C20,$J$2:$J$9,0))))</f>
        <v>204.52095870933701</v>
      </c>
      <c r="V20" s="119">
        <f ca="1">SUM(OFFSET('Output data (results)'!$B$10,V$15-2000+INDEX($I$2:$I$4,MATCH($B$1,$H$2:$H$4,0)),INDEX($M$2:$M$9,MATCH($B20&amp;$C20,$J$2:$J$9,0)),1,INDEX($N$2:$N$9,MATCH($B20&amp;$C20,$J$2:$J$9,0))))</f>
        <v>210.99183381275145</v>
      </c>
      <c r="W20" s="119">
        <f ca="1">SUM(OFFSET('Output data (results)'!$B$10,W$15-2000+INDEX($I$2:$I$4,MATCH($B$1,$H$2:$H$4,0)),INDEX($M$2:$M$9,MATCH($B20&amp;$C20,$J$2:$J$9,0)),1,INDEX($N$2:$N$9,MATCH($B20&amp;$C20,$J$2:$J$9,0))))</f>
        <v>212.79249544373798</v>
      </c>
      <c r="X20" s="119">
        <f ca="1">SUM(OFFSET('Output data (results)'!$B$10,X$15-2000+INDEX($I$2:$I$4,MATCH($B$1,$H$2:$H$4,0)),INDEX($M$2:$M$9,MATCH($B20&amp;$C20,$J$2:$J$9,0)),1,INDEX($N$2:$N$9,MATCH($B20&amp;$C20,$J$2:$J$9,0))))</f>
        <v>214.60852441027842</v>
      </c>
      <c r="Y20" s="119">
        <f ca="1">SUM(OFFSET('Output data (results)'!$B$10,Y$15-2000+INDEX($I$2:$I$4,MATCH($B$1,$H$2:$H$4,0)),INDEX($M$2:$M$9,MATCH($B20&amp;$C20,$J$2:$J$9,0)),1,INDEX($N$2:$N$9,MATCH($B20&amp;$C20,$J$2:$J$9,0))))</f>
        <v>216.44005186138909</v>
      </c>
      <c r="Z20" s="119">
        <f ca="1">SUM(OFFSET('Output data (results)'!$B$10,Z$15-2000+INDEX($I$2:$I$4,MATCH($B$1,$H$2:$H$4,0)),INDEX($M$2:$M$9,MATCH($B20&amp;$C20,$J$2:$J$9,0)),1,INDEX($N$2:$N$9,MATCH($B20&amp;$C20,$J$2:$J$9,0))))</f>
        <v>218.28721006534801</v>
      </c>
      <c r="AA20" s="119">
        <f ca="1">SUM(OFFSET('Output data (results)'!$B$10,AA$15-2000+INDEX($I$2:$I$4,MATCH($B$1,$H$2:$H$4,0)),INDEX($M$2:$M$9,MATCH($B20&amp;$C20,$J$2:$J$9,0)),1,INDEX($N$2:$N$9,MATCH($B20&amp;$C20,$J$2:$J$9,0))))</f>
        <v>220.15013241924632</v>
      </c>
      <c r="AB20" s="119">
        <f ca="1">SUM(OFFSET('Output data (results)'!$B$10,AB$15-2000+INDEX($I$2:$I$4,MATCH($B$1,$H$2:$H$4,0)),INDEX($M$2:$M$9,MATCH($B20&amp;$C20,$J$2:$J$9,0)),1,INDEX($N$2:$N$9,MATCH($B20&amp;$C20,$J$2:$J$9,0))))</f>
        <v>221.76188597912451</v>
      </c>
      <c r="AC20" s="119">
        <f ca="1">SUM(OFFSET('Output data (results)'!$B$10,AC$15-2000+INDEX($I$2:$I$4,MATCH($B$1,$H$2:$H$4,0)),INDEX($M$2:$M$9,MATCH($B20&amp;$C20,$J$2:$J$9,0)),1,INDEX($N$2:$N$9,MATCH($B20&amp;$C20,$J$2:$J$9,0))))</f>
        <v>223.38543943895829</v>
      </c>
      <c r="AD20" s="119">
        <f ca="1">SUM(OFFSET('Output data (results)'!$B$10,AD$15-2000+INDEX($I$2:$I$4,MATCH($B$1,$H$2:$H$4,0)),INDEX($M$2:$M$9,MATCH($B20&amp;$C20,$J$2:$J$9,0)),1,INDEX($N$2:$N$9,MATCH($B20&amp;$C20,$J$2:$J$9,0))))</f>
        <v>225.02087918766139</v>
      </c>
      <c r="AE20" s="119">
        <f ca="1">SUM(OFFSET('Output data (results)'!$B$10,AE$15-2000+INDEX($I$2:$I$4,MATCH($B$1,$H$2:$H$4,0)),INDEX($M$2:$M$9,MATCH($B20&amp;$C20,$J$2:$J$9,0)),1,INDEX($N$2:$N$9,MATCH($B20&amp;$C20,$J$2:$J$9,0))))</f>
        <v>226.66829224661399</v>
      </c>
      <c r="AF20" s="119">
        <f ca="1">SUM(OFFSET('Output data (results)'!$B$10,AF$15-2000+INDEX($I$2:$I$4,MATCH($B$1,$H$2:$H$4,0)),INDEX($M$2:$M$9,MATCH($B20&amp;$C20,$J$2:$J$9,0)),1,INDEX($N$2:$N$9,MATCH($B20&amp;$C20,$J$2:$J$9,0))))</f>
        <v>228.32776627429359</v>
      </c>
      <c r="AG20" s="119">
        <f ca="1">SUM(OFFSET('Output data (results)'!$B$10,AG$15-2000+INDEX($I$2:$I$4,MATCH($B$1,$H$2:$H$4,0)),INDEX($M$2:$M$9,MATCH($B20&amp;$C20,$J$2:$J$9,0)),1,INDEX($N$2:$N$9,MATCH($B20&amp;$C20,$J$2:$J$9,0))))</f>
        <v>229.74589393780369</v>
      </c>
      <c r="AH20" s="119">
        <f ca="1">SUM(OFFSET('Output data (results)'!$B$10,AH$15-2000+INDEX($I$2:$I$4,MATCH($B$1,$H$2:$H$4,0)),INDEX($M$2:$M$9,MATCH($B20&amp;$C20,$J$2:$J$9,0)),1,INDEX($N$2:$N$9,MATCH($B20&amp;$C20,$J$2:$J$9,0))))</f>
        <v>231.17282949228024</v>
      </c>
      <c r="AI20" s="119">
        <f ca="1">SUM(OFFSET('Output data (results)'!$B$10,AI$15-2000+INDEX($I$2:$I$4,MATCH($B$1,$H$2:$H$4,0)),INDEX($M$2:$M$9,MATCH($B20&amp;$C20,$J$2:$J$9,0)),1,INDEX($N$2:$N$9,MATCH($B20&amp;$C20,$J$2:$J$9,0))))</f>
        <v>232.6086276429136</v>
      </c>
      <c r="AJ20" s="119">
        <f ca="1">SUM(OFFSET('Output data (results)'!$B$10,AJ$15-2000+INDEX($I$2:$I$4,MATCH($B$1,$H$2:$H$4,0)),INDEX($M$2:$M$9,MATCH($B20&amp;$C20,$J$2:$J$9,0)),1,INDEX($N$2:$N$9,MATCH($B20&amp;$C20,$J$2:$J$9,0))))</f>
        <v>234.0533434346637</v>
      </c>
      <c r="AK20" s="119">
        <f ca="1">SUM(OFFSET('Output data (results)'!$B$10,AK$15-2000+INDEX($I$2:$I$4,MATCH($B$1,$H$2:$H$4,0)),INDEX($M$2:$M$9,MATCH($B20&amp;$C20,$J$2:$J$9,0)),1,INDEX($N$2:$N$9,MATCH($B20&amp;$C20,$J$2:$J$9,0))))</f>
        <v>235.50703225437104</v>
      </c>
      <c r="AL20" s="119">
        <f ca="1">SUM(OFFSET('Output data (results)'!$B$10,AL$15-2000+INDEX($I$2:$I$4,MATCH($B$1,$H$2:$H$4,0)),INDEX($M$2:$M$9,MATCH($B20&amp;$C20,$J$2:$J$9,0)),1,INDEX($N$2:$N$9,MATCH($B20&amp;$C20,$J$2:$J$9,0))))</f>
        <v>236.70925796835201</v>
      </c>
      <c r="AM20" s="119">
        <f ca="1">SUM(OFFSET('Output data (results)'!$B$10,AM$15-2000+INDEX($I$2:$I$4,MATCH($B$1,$H$2:$H$4,0)),INDEX($M$2:$M$9,MATCH($B20&amp;$C20,$J$2:$J$9,0)),1,INDEX($N$2:$N$9,MATCH($B20&amp;$C20,$J$2:$J$9,0))))</f>
        <v>237.91762085222362</v>
      </c>
      <c r="AN20" s="119">
        <f ca="1">SUM(OFFSET('Output data (results)'!$B$10,AN$15-2000+INDEX($I$2:$I$4,MATCH($B$1,$H$2:$H$4,0)),INDEX($M$2:$M$9,MATCH($B20&amp;$C20,$J$2:$J$9,0)),1,INDEX($N$2:$N$9,MATCH($B20&amp;$C20,$J$2:$J$9,0))))</f>
        <v>239.13215223525594</v>
      </c>
      <c r="AO20" s="119">
        <f ca="1">SUM(OFFSET('Output data (results)'!$B$10,AO$15-2000+INDEX($I$2:$I$4,MATCH($B$1,$H$2:$H$4,0)),INDEX($M$2:$M$9,MATCH($B20&amp;$C20,$J$2:$J$9,0)),1,INDEX($N$2:$N$9,MATCH($B20&amp;$C20,$J$2:$J$9,0))))</f>
        <v>240.35288360665007</v>
      </c>
      <c r="AP20" s="119">
        <f ca="1">SUM(OFFSET('Output data (results)'!$B$10,AP$15-2000+INDEX($I$2:$I$4,MATCH($B$1,$H$2:$H$4,0)),INDEX($M$2:$M$9,MATCH($B20&amp;$C20,$J$2:$J$9,0)),1,INDEX($N$2:$N$9,MATCH($B20&amp;$C20,$J$2:$J$9,0))))</f>
        <v>241.57984661635467</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1.4487376668485634</v>
      </c>
      <c r="L21" s="119">
        <f ca="1">SUM(OFFSET('Output data (results)'!$B$10,L$15-2000+INDEX($I$2:$I$4,MATCH($B$1,$H$2:$H$4,0)),INDEX($M$2:$M$9,MATCH($B21&amp;$C21,$J$2:$J$9,0)),1,INDEX($N$2:$N$9,MATCH($B21&amp;$C21,$J$2:$J$9,0))))</f>
        <v>1.5774702288775178</v>
      </c>
      <c r="M21" s="119">
        <f ca="1">SUM(OFFSET('Output data (results)'!$B$10,M$15-2000+INDEX($I$2:$I$4,MATCH($B$1,$H$2:$H$4,0)),INDEX($M$2:$M$9,MATCH($B21&amp;$C21,$J$2:$J$9,0)),1,INDEX($N$2:$N$9,MATCH($B21&amp;$C21,$J$2:$J$9,0))))</f>
        <v>1.9114418210418633</v>
      </c>
      <c r="N21" s="119">
        <f ca="1">SUM(OFFSET('Output data (results)'!$B$10,N$15-2000+INDEX($I$2:$I$4,MATCH($B$1,$H$2:$H$4,0)),INDEX($M$2:$M$9,MATCH($B21&amp;$C21,$J$2:$J$9,0)),1,INDEX($N$2:$N$9,MATCH($B21&amp;$C21,$J$2:$J$9,0))))</f>
        <v>2.0713595509042171</v>
      </c>
      <c r="O21" s="119">
        <f ca="1">SUM(OFFSET('Output data (results)'!$B$10,O$15-2000+INDEX($I$2:$I$4,MATCH($B$1,$H$2:$H$4,0)),INDEX($M$2:$M$9,MATCH($B21&amp;$C21,$J$2:$J$9,0)),1,INDEX($N$2:$N$9,MATCH($B21&amp;$C21,$J$2:$J$9,0))))</f>
        <v>2.080537734270925</v>
      </c>
      <c r="P21" s="119">
        <f ca="1">SUM(OFFSET('Output data (results)'!$B$10,P$15-2000+INDEX($I$2:$I$4,MATCH($B$1,$H$2:$H$4,0)),INDEX($M$2:$M$9,MATCH($B21&amp;$C21,$J$2:$J$9,0)),1,INDEX($N$2:$N$9,MATCH($B21&amp;$C21,$J$2:$J$9,0))))</f>
        <v>2.0907724405933692</v>
      </c>
      <c r="Q21" s="119">
        <f ca="1">SUM(OFFSET('Output data (results)'!$B$10,Q$15-2000+INDEX($I$2:$I$4,MATCH($B$1,$H$2:$H$4,0)),INDEX($M$2:$M$9,MATCH($B21&amp;$C21,$J$2:$J$9,0)),1,INDEX($N$2:$N$9,MATCH($B21&amp;$C21,$J$2:$J$9,0))))</f>
        <v>2.102379570743738</v>
      </c>
      <c r="R21" s="119">
        <f ca="1">SUM(OFFSET('Output data (results)'!$B$10,R$15-2000+INDEX($I$2:$I$4,MATCH($B$1,$H$2:$H$4,0)),INDEX($M$2:$M$9,MATCH($B21&amp;$C21,$J$2:$J$9,0)),1,INDEX($N$2:$N$9,MATCH($B21&amp;$C21,$J$2:$J$9,0))))</f>
        <v>2.1146021687454892</v>
      </c>
      <c r="S21" s="119">
        <f ca="1">SUM(OFFSET('Output data (results)'!$B$10,S$15-2000+INDEX($I$2:$I$4,MATCH($B$1,$H$2:$H$4,0)),INDEX($M$2:$M$9,MATCH($B21&amp;$C21,$J$2:$J$9,0)),1,INDEX($N$2:$N$9,MATCH($B21&amp;$C21,$J$2:$J$9,0))))</f>
        <v>2.1278439731292136</v>
      </c>
      <c r="T21" s="119">
        <f ca="1">SUM(OFFSET('Output data (results)'!$B$10,T$15-2000+INDEX($I$2:$I$4,MATCH($B$1,$H$2:$H$4,0)),INDEX($M$2:$M$9,MATCH($B21&amp;$C21,$J$2:$J$9,0)),1,INDEX($N$2:$N$9,MATCH($B21&amp;$C21,$J$2:$J$9,0))))</f>
        <v>2.1409725713295655</v>
      </c>
      <c r="U21" s="119">
        <f ca="1">SUM(OFFSET('Output data (results)'!$B$10,U$15-2000+INDEX($I$2:$I$4,MATCH($B$1,$H$2:$H$4,0)),INDEX($M$2:$M$9,MATCH($B21&amp;$C21,$J$2:$J$9,0)),1,INDEX($N$2:$N$9,MATCH($B21&amp;$C21,$J$2:$J$9,0))))</f>
        <v>2.1550847398765014</v>
      </c>
      <c r="V21" s="119">
        <f ca="1">SUM(OFFSET('Output data (results)'!$B$10,V$15-2000+INDEX($I$2:$I$4,MATCH($B$1,$H$2:$H$4,0)),INDEX($M$2:$M$9,MATCH($B21&amp;$C21,$J$2:$J$9,0)),1,INDEX($N$2:$N$9,MATCH($B21&amp;$C21,$J$2:$J$9,0))))</f>
        <v>2.1691975196668984</v>
      </c>
      <c r="W21" s="119">
        <f ca="1">SUM(OFFSET('Output data (results)'!$B$10,W$15-2000+INDEX($I$2:$I$4,MATCH($B$1,$H$2:$H$4,0)),INDEX($M$2:$M$9,MATCH($B21&amp;$C21,$J$2:$J$9,0)),1,INDEX($N$2:$N$9,MATCH($B21&amp;$C21,$J$2:$J$9,0))))</f>
        <v>2.185710025440025</v>
      </c>
      <c r="X21" s="119">
        <f ca="1">SUM(OFFSET('Output data (results)'!$B$10,X$15-2000+INDEX($I$2:$I$4,MATCH($B$1,$H$2:$H$4,0)),INDEX($M$2:$M$9,MATCH($B21&amp;$C21,$J$2:$J$9,0)),1,INDEX($N$2:$N$9,MATCH($B21&amp;$C21,$J$2:$J$9,0))))</f>
        <v>2.2031512487288332</v>
      </c>
      <c r="Y21" s="119">
        <f ca="1">SUM(OFFSET('Output data (results)'!$B$10,Y$15-2000+INDEX($I$2:$I$4,MATCH($B$1,$H$2:$H$4,0)),INDEX($M$2:$M$9,MATCH($B21&amp;$C21,$J$2:$J$9,0)),1,INDEX($N$2:$N$9,MATCH($B21&amp;$C21,$J$2:$J$9,0))))</f>
        <v>2.2214526822211074</v>
      </c>
      <c r="Z21" s="119">
        <f ca="1">SUM(OFFSET('Output data (results)'!$B$10,Z$15-2000+INDEX($I$2:$I$4,MATCH($B$1,$H$2:$H$4,0)),INDEX($M$2:$M$9,MATCH($B21&amp;$C21,$J$2:$J$9,0)),1,INDEX($N$2:$N$9,MATCH($B21&amp;$C21,$J$2:$J$9,0))))</f>
        <v>2.2421412223815005</v>
      </c>
      <c r="AA21" s="119">
        <f ca="1">SUM(OFFSET('Output data (results)'!$B$10,AA$15-2000+INDEX($I$2:$I$4,MATCH($B$1,$H$2:$H$4,0)),INDEX($M$2:$M$9,MATCH($B21&amp;$C21,$J$2:$J$9,0)),1,INDEX($N$2:$N$9,MATCH($B21&amp;$C21,$J$2:$J$9,0))))</f>
        <v>2.2618693982225659</v>
      </c>
      <c r="AB21" s="119">
        <f ca="1">SUM(OFFSET('Output data (results)'!$B$10,AB$15-2000+INDEX($I$2:$I$4,MATCH($B$1,$H$2:$H$4,0)),INDEX($M$2:$M$9,MATCH($B21&amp;$C21,$J$2:$J$9,0)),1,INDEX($N$2:$N$9,MATCH($B21&amp;$C21,$J$2:$J$9,0))))</f>
        <v>2.2829077176167067</v>
      </c>
      <c r="AC21" s="119">
        <f ca="1">SUM(OFFSET('Output data (results)'!$B$10,AC$15-2000+INDEX($I$2:$I$4,MATCH($B$1,$H$2:$H$4,0)),INDEX($M$2:$M$9,MATCH($B21&amp;$C21,$J$2:$J$9,0)),1,INDEX($N$2:$N$9,MATCH($B21&amp;$C21,$J$2:$J$9,0))))</f>
        <v>2.3061580356538096</v>
      </c>
      <c r="AD21" s="119">
        <f ca="1">SUM(OFFSET('Output data (results)'!$B$10,AD$15-2000+INDEX($I$2:$I$4,MATCH($B$1,$H$2:$H$4,0)),INDEX($M$2:$M$9,MATCH($B21&amp;$C21,$J$2:$J$9,0)),1,INDEX($N$2:$N$9,MATCH($B21&amp;$C21,$J$2:$J$9,0))))</f>
        <v>2.3282280099591697</v>
      </c>
      <c r="AE21" s="119">
        <f ca="1">SUM(OFFSET('Output data (results)'!$B$10,AE$15-2000+INDEX($I$2:$I$4,MATCH($B$1,$H$2:$H$4,0)),INDEX($M$2:$M$9,MATCH($B21&amp;$C21,$J$2:$J$9,0)),1,INDEX($N$2:$N$9,MATCH($B21&amp;$C21,$J$2:$J$9,0))))</f>
        <v>2.3504453724774614</v>
      </c>
      <c r="AF21" s="119">
        <f ca="1">SUM(OFFSET('Output data (results)'!$B$10,AF$15-2000+INDEX($I$2:$I$4,MATCH($B$1,$H$2:$H$4,0)),INDEX($M$2:$M$9,MATCH($B21&amp;$C21,$J$2:$J$9,0)),1,INDEX($N$2:$N$9,MATCH($B21&amp;$C21,$J$2:$J$9,0))))</f>
        <v>2.3731710628923368</v>
      </c>
      <c r="AG21" s="119">
        <f ca="1">SUM(OFFSET('Output data (results)'!$B$10,AG$15-2000+INDEX($I$2:$I$4,MATCH($B$1,$H$2:$H$4,0)),INDEX($M$2:$M$9,MATCH($B21&amp;$C21,$J$2:$J$9,0)),1,INDEX($N$2:$N$9,MATCH($B21&amp;$C21,$J$2:$J$9,0))))</f>
        <v>2.3967602983203484</v>
      </c>
      <c r="AH21" s="119">
        <f ca="1">SUM(OFFSET('Output data (results)'!$B$10,AH$15-2000+INDEX($I$2:$I$4,MATCH($B$1,$H$2:$H$4,0)),INDEX($M$2:$M$9,MATCH($B21&amp;$C21,$J$2:$J$9,0)),1,INDEX($N$2:$N$9,MATCH($B21&amp;$C21,$J$2:$J$9,0))))</f>
        <v>2.4194419385338177</v>
      </c>
      <c r="AI21" s="119">
        <f ca="1">SUM(OFFSET('Output data (results)'!$B$10,AI$15-2000+INDEX($I$2:$I$4,MATCH($B$1,$H$2:$H$4,0)),INDEX($M$2:$M$9,MATCH($B21&amp;$C21,$J$2:$J$9,0)),1,INDEX($N$2:$N$9,MATCH($B21&amp;$C21,$J$2:$J$9,0))))</f>
        <v>2.4427673114644937</v>
      </c>
      <c r="AJ21" s="119">
        <f ca="1">SUM(OFFSET('Output data (results)'!$B$10,AJ$15-2000+INDEX($I$2:$I$4,MATCH($B$1,$H$2:$H$4,0)),INDEX($M$2:$M$9,MATCH($B21&amp;$C21,$J$2:$J$9,0)),1,INDEX($N$2:$N$9,MATCH($B21&amp;$C21,$J$2:$J$9,0))))</f>
        <v>2.4670099270023877</v>
      </c>
      <c r="AK21" s="119">
        <f ca="1">SUM(OFFSET('Output data (results)'!$B$10,AK$15-2000+INDEX($I$2:$I$4,MATCH($B$1,$H$2:$H$4,0)),INDEX($M$2:$M$9,MATCH($B21&amp;$C21,$J$2:$J$9,0)),1,INDEX($N$2:$N$9,MATCH($B21&amp;$C21,$J$2:$J$9,0))))</f>
        <v>2.4921787047995538</v>
      </c>
      <c r="AL21" s="119">
        <f ca="1">SUM(OFFSET('Output data (results)'!$B$10,AL$15-2000+INDEX($I$2:$I$4,MATCH($B$1,$H$2:$H$4,0)),INDEX($M$2:$M$9,MATCH($B21&amp;$C21,$J$2:$J$9,0)),1,INDEX($N$2:$N$9,MATCH($B21&amp;$C21,$J$2:$J$9,0))))</f>
        <v>2.5174183657000331</v>
      </c>
      <c r="AM21" s="119">
        <f ca="1">SUM(OFFSET('Output data (results)'!$B$10,AM$15-2000+INDEX($I$2:$I$4,MATCH($B$1,$H$2:$H$4,0)),INDEX($M$2:$M$9,MATCH($B21&amp;$C21,$J$2:$J$9,0)),1,INDEX($N$2:$N$9,MATCH($B21&amp;$C21,$J$2:$J$9,0))))</f>
        <v>2.5230821760870179</v>
      </c>
      <c r="AN21" s="119">
        <f ca="1">SUM(OFFSET('Output data (results)'!$B$10,AN$15-2000+INDEX($I$2:$I$4,MATCH($B$1,$H$2:$H$4,0)),INDEX($M$2:$M$9,MATCH($B21&amp;$C21,$J$2:$J$9,0)),1,INDEX($N$2:$N$9,MATCH($B21&amp;$C21,$J$2:$J$9,0))))</f>
        <v>2.526466562574238</v>
      </c>
      <c r="AO21" s="119">
        <f ca="1">SUM(OFFSET('Output data (results)'!$B$10,AO$15-2000+INDEX($I$2:$I$4,MATCH($B$1,$H$2:$H$4,0)),INDEX($M$2:$M$9,MATCH($B21&amp;$C21,$J$2:$J$9,0)),1,INDEX($N$2:$N$9,MATCH($B21&amp;$C21,$J$2:$J$9,0))))</f>
        <v>2.5299692635070721</v>
      </c>
      <c r="AP21" s="119">
        <f ca="1">SUM(OFFSET('Output data (results)'!$B$10,AP$15-2000+INDEX($I$2:$I$4,MATCH($B$1,$H$2:$H$4,0)),INDEX($M$2:$M$9,MATCH($B21&amp;$C21,$J$2:$J$9,0)),1,INDEX($N$2:$N$9,MATCH($B21&amp;$C21,$J$2:$J$9,0))))</f>
        <v>2.5325311551822463</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0.15419075184029304</v>
      </c>
      <c r="K22" s="119">
        <f ca="1">SUM(OFFSET('Output data (results)'!$B$10,K$15-2000+INDEX($I$2:$I$4,MATCH($B$1,$H$2:$H$4,0)),INDEX($M$2:$M$9,MATCH($B22&amp;$C22,$J$2:$J$9,0)),1,INDEX($N$2:$N$9,MATCH($B22&amp;$C22,$J$2:$J$9,0))))</f>
        <v>0.15148916077456326</v>
      </c>
      <c r="L22" s="119">
        <f ca="1">SUM(OFFSET('Output data (results)'!$B$10,L$15-2000+INDEX($I$2:$I$4,MATCH($B$1,$H$2:$H$4,0)),INDEX($M$2:$M$9,MATCH($B22&amp;$C22,$J$2:$J$9,0)),1,INDEX($N$2:$N$9,MATCH($B22&amp;$C22,$J$2:$J$9,0))))</f>
        <v>0.14740936571980473</v>
      </c>
      <c r="M22" s="119">
        <f ca="1">SUM(OFFSET('Output data (results)'!$B$10,M$15-2000+INDEX($I$2:$I$4,MATCH($B$1,$H$2:$H$4,0)),INDEX($M$2:$M$9,MATCH($B22&amp;$C22,$J$2:$J$9,0)),1,INDEX($N$2:$N$9,MATCH($B22&amp;$C22,$J$2:$J$9,0))))</f>
        <v>0.13551927625479393</v>
      </c>
      <c r="N22" s="119">
        <f ca="1">SUM(OFFSET('Output data (results)'!$B$10,N$15-2000+INDEX($I$2:$I$4,MATCH($B$1,$H$2:$H$4,0)),INDEX($M$2:$M$9,MATCH($B22&amp;$C22,$J$2:$J$9,0)),1,INDEX($N$2:$N$9,MATCH($B22&amp;$C22,$J$2:$J$9,0))))</f>
        <v>0.11278666766637657</v>
      </c>
      <c r="O22" s="119">
        <f ca="1">SUM(OFFSET('Output data (results)'!$B$10,O$15-2000+INDEX($I$2:$I$4,MATCH($B$1,$H$2:$H$4,0)),INDEX($M$2:$M$9,MATCH($B22&amp;$C22,$J$2:$J$9,0)),1,INDEX($N$2:$N$9,MATCH($B22&amp;$C22,$J$2:$J$9,0))))</f>
        <v>0.10696286051893281</v>
      </c>
      <c r="P22" s="119">
        <f ca="1">SUM(OFFSET('Output data (results)'!$B$10,P$15-2000+INDEX($I$2:$I$4,MATCH($B$1,$H$2:$H$4,0)),INDEX($M$2:$M$9,MATCH($B22&amp;$C22,$J$2:$J$9,0)),1,INDEX($N$2:$N$9,MATCH($B22&amp;$C22,$J$2:$J$9,0))))</f>
        <v>0.10103929848692009</v>
      </c>
      <c r="Q22" s="119">
        <f ca="1">SUM(OFFSET('Output data (results)'!$B$10,Q$15-2000+INDEX($I$2:$I$4,MATCH($B$1,$H$2:$H$4,0)),INDEX($M$2:$M$9,MATCH($B22&amp;$C22,$J$2:$J$9,0)),1,INDEX($N$2:$N$9,MATCH($B22&amp;$C22,$J$2:$J$9,0))))</f>
        <v>9.5012348041607686E-2</v>
      </c>
      <c r="R22" s="119">
        <f ca="1">SUM(OFFSET('Output data (results)'!$B$10,R$15-2000+INDEX($I$2:$I$4,MATCH($B$1,$H$2:$H$4,0)),INDEX($M$2:$M$9,MATCH($B22&amp;$C22,$J$2:$J$9,0)),1,INDEX($N$2:$N$9,MATCH($B22&amp;$C22,$J$2:$J$9,0))))</f>
        <v>8.8930830749442052E-2</v>
      </c>
      <c r="S22" s="119">
        <f ca="1">SUM(OFFSET('Output data (results)'!$B$10,S$15-2000+INDEX($I$2:$I$4,MATCH($B$1,$H$2:$H$4,0)),INDEX($M$2:$M$9,MATCH($B22&amp;$C22,$J$2:$J$9,0)),1,INDEX($N$2:$N$9,MATCH($B22&amp;$C22,$J$2:$J$9,0))))</f>
        <v>8.2730742955201886E-2</v>
      </c>
      <c r="T22" s="119">
        <f ca="1">SUM(OFFSET('Output data (results)'!$B$10,T$15-2000+INDEX($I$2:$I$4,MATCH($B$1,$H$2:$H$4,0)),INDEX($M$2:$M$9,MATCH($B22&amp;$C22,$J$2:$J$9,0)),1,INDEX($N$2:$N$9,MATCH($B22&amp;$C22,$J$2:$J$9,0))))</f>
        <v>7.6407803833313151E-2</v>
      </c>
      <c r="U22" s="119">
        <f ca="1">SUM(OFFSET('Output data (results)'!$B$10,U$15-2000+INDEX($I$2:$I$4,MATCH($B$1,$H$2:$H$4,0)),INDEX($M$2:$M$9,MATCH($B22&amp;$C22,$J$2:$J$9,0)),1,INDEX($N$2:$N$9,MATCH($B22&amp;$C22,$J$2:$J$9,0))))</f>
        <v>6.9957540131701232E-2</v>
      </c>
      <c r="V22" s="119">
        <f ca="1">SUM(OFFSET('Output data (results)'!$B$10,V$15-2000+INDEX($I$2:$I$4,MATCH($B$1,$H$2:$H$4,0)),INDEX($M$2:$M$9,MATCH($B22&amp;$C22,$J$2:$J$9,0)),1,INDEX($N$2:$N$9,MATCH($B22&amp;$C22,$J$2:$J$9,0))))</f>
        <v>6.3375274937216314E-2</v>
      </c>
      <c r="W22" s="119">
        <f ca="1">SUM(OFFSET('Output data (results)'!$B$10,W$15-2000+INDEX($I$2:$I$4,MATCH($B$1,$H$2:$H$4,0)),INDEX($M$2:$M$9,MATCH($B22&amp;$C22,$J$2:$J$9,0)),1,INDEX($N$2:$N$9,MATCH($B22&amp;$C22,$J$2:$J$9,0))))</f>
        <v>5.5892696836052552E-2</v>
      </c>
      <c r="X22" s="119">
        <f ca="1">SUM(OFFSET('Output data (results)'!$B$10,X$15-2000+INDEX($I$2:$I$4,MATCH($B$1,$H$2:$H$4,0)),INDEX($M$2:$M$9,MATCH($B22&amp;$C22,$J$2:$J$9,0)),1,INDEX($N$2:$N$9,MATCH($B22&amp;$C22,$J$2:$J$9,0))))</f>
        <v>4.8456612904238333E-2</v>
      </c>
      <c r="Y22" s="119">
        <f ca="1">SUM(OFFSET('Output data (results)'!$B$10,Y$15-2000+INDEX($I$2:$I$4,MATCH($B$1,$H$2:$H$4,0)),INDEX($M$2:$M$9,MATCH($B22&amp;$C22,$J$2:$J$9,0)),1,INDEX($N$2:$N$9,MATCH($B22&amp;$C22,$J$2:$J$9,0))))</f>
        <v>4.8312974251669485E-2</v>
      </c>
      <c r="Z22" s="119">
        <f ca="1">SUM(OFFSET('Output data (results)'!$B$10,Z$15-2000+INDEX($I$2:$I$4,MATCH($B$1,$H$2:$H$4,0)),INDEX($M$2:$M$9,MATCH($B22&amp;$C22,$J$2:$J$9,0)),1,INDEX($N$2:$N$9,MATCH($B22&amp;$C22,$J$2:$J$9,0))))</f>
        <v>4.8171389403123509E-2</v>
      </c>
      <c r="AA22" s="119">
        <f ca="1">SUM(OFFSET('Output data (results)'!$B$10,AA$15-2000+INDEX($I$2:$I$4,MATCH($B$1,$H$2:$H$4,0)),INDEX($M$2:$M$9,MATCH($B22&amp;$C22,$J$2:$J$9,0)),1,INDEX($N$2:$N$9,MATCH($B22&amp;$C22,$J$2:$J$9,0))))</f>
        <v>4.8031819626004571E-2</v>
      </c>
      <c r="AB22" s="119">
        <f ca="1">SUM(OFFSET('Output data (results)'!$B$10,AB$15-2000+INDEX($I$2:$I$4,MATCH($B$1,$H$2:$H$4,0)),INDEX($M$2:$M$9,MATCH($B22&amp;$C22,$J$2:$J$9,0)),1,INDEX($N$2:$N$9,MATCH($B22&amp;$C22,$J$2:$J$9,0))))</f>
        <v>4.7913595464684461E-2</v>
      </c>
      <c r="AC22" s="119">
        <f ca="1">SUM(OFFSET('Output data (results)'!$B$10,AC$15-2000+INDEX($I$2:$I$4,MATCH($B$1,$H$2:$H$4,0)),INDEX($M$2:$M$9,MATCH($B22&amp;$C22,$J$2:$J$9,0)),1,INDEX($N$2:$N$9,MATCH($B22&amp;$C22,$J$2:$J$9,0))))</f>
        <v>4.7796804804884324E-2</v>
      </c>
      <c r="AD22" s="119">
        <f ca="1">SUM(OFFSET('Output data (results)'!$B$10,AD$15-2000+INDEX($I$2:$I$4,MATCH($B$1,$H$2:$H$4,0)),INDEX($M$2:$M$9,MATCH($B22&amp;$C22,$J$2:$J$9,0)),1,INDEX($N$2:$N$9,MATCH($B22&amp;$C22,$J$2:$J$9,0))))</f>
        <v>4.7681424782474335E-2</v>
      </c>
      <c r="AE22" s="119">
        <f ca="1">SUM(OFFSET('Output data (results)'!$B$10,AE$15-2000+INDEX($I$2:$I$4,MATCH($B$1,$H$2:$H$4,0)),INDEX($M$2:$M$9,MATCH($B22&amp;$C22,$J$2:$J$9,0)),1,INDEX($N$2:$N$9,MATCH($B22&amp;$C22,$J$2:$J$9,0))))</f>
        <v>4.7567433008166821E-2</v>
      </c>
      <c r="AF22" s="119">
        <f ca="1">SUM(OFFSET('Output data (results)'!$B$10,AF$15-2000+INDEX($I$2:$I$4,MATCH($B$1,$H$2:$H$4,0)),INDEX($M$2:$M$9,MATCH($B22&amp;$C22,$J$2:$J$9,0)),1,INDEX($N$2:$N$9,MATCH($B22&amp;$C22,$J$2:$J$9,0))))</f>
        <v>4.7454807555236386E-2</v>
      </c>
      <c r="AG22" s="119">
        <f ca="1">SUM(OFFSET('Output data (results)'!$B$10,AG$15-2000+INDEX($I$2:$I$4,MATCH($B$1,$H$2:$H$4,0)),INDEX($M$2:$M$9,MATCH($B22&amp;$C22,$J$2:$J$9,0)),1,INDEX($N$2:$N$9,MATCH($B22&amp;$C22,$J$2:$J$9,0))))</f>
        <v>4.7360264672670904E-2</v>
      </c>
      <c r="AH22" s="119">
        <f ca="1">SUM(OFFSET('Output data (results)'!$B$10,AH$15-2000+INDEX($I$2:$I$4,MATCH($B$1,$H$2:$H$4,0)),INDEX($M$2:$M$9,MATCH($B22&amp;$C22,$J$2:$J$9,0)),1,INDEX($N$2:$N$9,MATCH($B22&amp;$C22,$J$2:$J$9,0))))</f>
        <v>4.7266677856746583E-2</v>
      </c>
      <c r="AI22" s="119">
        <f ca="1">SUM(OFFSET('Output data (results)'!$B$10,AI$15-2000+INDEX($I$2:$I$4,MATCH($B$1,$H$2:$H$4,0)),INDEX($M$2:$M$9,MATCH($B22&amp;$C22,$J$2:$J$9,0)),1,INDEX($N$2:$N$9,MATCH($B22&amp;$C22,$J$2:$J$9,0))))</f>
        <v>4.7174034444985899E-2</v>
      </c>
      <c r="AJ22" s="119">
        <f ca="1">SUM(OFFSET('Output data (results)'!$B$10,AJ$15-2000+INDEX($I$2:$I$4,MATCH($B$1,$H$2:$H$4,0)),INDEX($M$2:$M$9,MATCH($B22&amp;$C22,$J$2:$J$9,0)),1,INDEX($N$2:$N$9,MATCH($B22&amp;$C22,$J$2:$J$9,0))))</f>
        <v>4.7082321993113047E-2</v>
      </c>
      <c r="AK22" s="119">
        <f ca="1">SUM(OFFSET('Output data (results)'!$B$10,AK$15-2000+INDEX($I$2:$I$4,MATCH($B$1,$H$2:$H$4,0)),INDEX($M$2:$M$9,MATCH($B22&amp;$C22,$J$2:$J$9,0)),1,INDEX($N$2:$N$9,MATCH($B22&amp;$C22,$J$2:$J$9,0))))</f>
        <v>4.699152827036783E-2</v>
      </c>
      <c r="AL22" s="119">
        <f ca="1">SUM(OFFSET('Output data (results)'!$B$10,AL$15-2000+INDEX($I$2:$I$4,MATCH($B$1,$H$2:$H$4,0)),INDEX($M$2:$M$9,MATCH($B22&amp;$C22,$J$2:$J$9,0)),1,INDEX($N$2:$N$9,MATCH($B22&amp;$C22,$J$2:$J$9,0))))</f>
        <v>4.6917542640490965E-2</v>
      </c>
      <c r="AM22" s="119">
        <f ca="1">SUM(OFFSET('Output data (results)'!$B$10,AM$15-2000+INDEX($I$2:$I$4,MATCH($B$1,$H$2:$H$4,0)),INDEX($M$2:$M$9,MATCH($B22&amp;$C22,$J$2:$J$9,0)),1,INDEX($N$2:$N$9,MATCH($B22&amp;$C22,$J$2:$J$9,0))))</f>
        <v>4.6844163616498617E-2</v>
      </c>
      <c r="AN22" s="119">
        <f ca="1">SUM(OFFSET('Output data (results)'!$B$10,AN$15-2000+INDEX($I$2:$I$4,MATCH($B$1,$H$2:$H$4,0)),INDEX($M$2:$M$9,MATCH($B22&amp;$C22,$J$2:$J$9,0)),1,INDEX($N$2:$N$9,MATCH($B22&amp;$C22,$J$2:$J$9,0))))</f>
        <v>4.6771384708153965E-2</v>
      </c>
      <c r="AO22" s="119">
        <f ca="1">SUM(OFFSET('Output data (results)'!$B$10,AO$15-2000+INDEX($I$2:$I$4,MATCH($B$1,$H$2:$H$4,0)),INDEX($M$2:$M$9,MATCH($B22&amp;$C22,$J$2:$J$9,0)),1,INDEX($N$2:$N$9,MATCH($B22&amp;$C22,$J$2:$J$9,0))))</f>
        <v>4.669919951551306E-2</v>
      </c>
      <c r="AP22" s="119">
        <f ca="1">SUM(OFFSET('Output data (results)'!$B$10,AP$15-2000+INDEX($I$2:$I$4,MATCH($B$1,$H$2:$H$4,0)),INDEX($M$2:$M$9,MATCH($B22&amp;$C22,$J$2:$J$9,0)),1,INDEX($N$2:$N$9,MATCH($B22&amp;$C22,$J$2:$J$9,0))))</f>
        <v>4.6627601727357929E-2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2.9904262793007734</v>
      </c>
      <c r="M23" s="119">
        <f ca="1">SUM(OFFSET('Output data (results)'!$B$10,M$15-2000+INDEX($I$2:$I$4,MATCH($B$1,$H$2:$H$4,0)),INDEX($M$2:$M$9,MATCH($B23&amp;$C23,$J$2:$J$9,0)),1,INDEX($N$2:$N$9,MATCH($B23&amp;$C23,$J$2:$J$9,0))))</f>
        <v>3.0248585614028385</v>
      </c>
      <c r="N23" s="119">
        <f ca="1">SUM(OFFSET('Output data (results)'!$B$10,N$15-2000+INDEX($I$2:$I$4,MATCH($B$1,$H$2:$H$4,0)),INDEX($M$2:$M$9,MATCH($B23&amp;$C23,$J$2:$J$9,0)),1,INDEX($N$2:$N$9,MATCH($B23&amp;$C23,$J$2:$J$9,0))))</f>
        <v>3.0596873027184164</v>
      </c>
      <c r="O23" s="119">
        <f ca="1">SUM(OFFSET('Output data (results)'!$B$10,O$15-2000+INDEX($I$2:$I$4,MATCH($B$1,$H$2:$H$4,0)),INDEX($M$2:$M$9,MATCH($B23&amp;$C23,$J$2:$J$9,0)),1,INDEX($N$2:$N$9,MATCH($B23&amp;$C23,$J$2:$J$9,0))))</f>
        <v>3.0949170681470224</v>
      </c>
      <c r="P23" s="119">
        <f ca="1">SUM(OFFSET('Output data (results)'!$B$10,P$15-2000+INDEX($I$2:$I$4,MATCH($B$1,$H$2:$H$4,0)),INDEX($M$2:$M$9,MATCH($B23&amp;$C23,$J$2:$J$9,0)),1,INDEX($N$2:$N$9,MATCH($B23&amp;$C23,$J$2:$J$9,0))))</f>
        <v>3.1305524751492158</v>
      </c>
      <c r="Q23" s="119">
        <f ca="1">SUM(OFFSET('Output data (results)'!$B$10,Q$15-2000+INDEX($I$2:$I$4,MATCH($B$1,$H$2:$H$4,0)),INDEX($M$2:$M$9,MATCH($B23&amp;$C23,$J$2:$J$9,0)),1,INDEX($N$2:$N$9,MATCH($B23&amp;$C23,$J$2:$J$9,0))))</f>
        <v>3.166598194351784</v>
      </c>
      <c r="R23" s="119">
        <f ca="1">SUM(OFFSET('Output data (results)'!$B$10,R$15-2000+INDEX($I$2:$I$4,MATCH($B$1,$H$2:$H$4,0)),INDEX($M$2:$M$9,MATCH($B23&amp;$C23,$J$2:$J$9,0)),1,INDEX($N$2:$N$9,MATCH($B23&amp;$C23,$J$2:$J$9,0))))</f>
        <v>3.1977779387807019</v>
      </c>
      <c r="S23" s="119">
        <f ca="1">SUM(OFFSET('Output data (results)'!$B$10,S$15-2000+INDEX($I$2:$I$4,MATCH($B$1,$H$2:$H$4,0)),INDEX($M$2:$M$9,MATCH($B23&amp;$C23,$J$2:$J$9,0)),1,INDEX($N$2:$N$9,MATCH($B23&amp;$C23,$J$2:$J$9,0))))</f>
        <v>3.2292646929415123</v>
      </c>
      <c r="T23" s="119">
        <f ca="1">SUM(OFFSET('Output data (results)'!$B$10,T$15-2000+INDEX($I$2:$I$4,MATCH($B$1,$H$2:$H$4,0)),INDEX($M$2:$M$9,MATCH($B23&amp;$C23,$J$2:$J$9,0)),1,INDEX($N$2:$N$9,MATCH($B23&amp;$C23,$J$2:$J$9,0))))</f>
        <v>3.2610614797895683</v>
      </c>
      <c r="U23" s="119">
        <f ca="1">SUM(OFFSET('Output data (results)'!$B$10,U$15-2000+INDEX($I$2:$I$4,MATCH($B$1,$H$2:$H$4,0)),INDEX($M$2:$M$9,MATCH($B23&amp;$C23,$J$2:$J$9,0)),1,INDEX($N$2:$N$9,MATCH($B23&amp;$C23,$J$2:$J$9,0))))</f>
        <v>3.2931713520456056</v>
      </c>
      <c r="V23" s="119">
        <f ca="1">SUM(OFFSET('Output data (results)'!$B$10,V$15-2000+INDEX($I$2:$I$4,MATCH($B$1,$H$2:$H$4,0)),INDEX($M$2:$M$9,MATCH($B23&amp;$C23,$J$2:$J$9,0)),1,INDEX($N$2:$N$9,MATCH($B23&amp;$C23,$J$2:$J$9,0))))</f>
        <v>3.3255973924888065</v>
      </c>
      <c r="W23" s="119">
        <f ca="1">SUM(OFFSET('Output data (results)'!$B$10,W$15-2000+INDEX($I$2:$I$4,MATCH($B$1,$H$2:$H$4,0)),INDEX($M$2:$M$9,MATCH($B23&amp;$C23,$J$2:$J$9,0)),1,INDEX($N$2:$N$9,MATCH($B23&amp;$C23,$J$2:$J$9,0))))</f>
        <v>3.3539789441183268</v>
      </c>
      <c r="X23" s="119">
        <f ca="1">SUM(OFFSET('Output data (results)'!$B$10,X$15-2000+INDEX($I$2:$I$4,MATCH($B$1,$H$2:$H$4,0)),INDEX($M$2:$M$9,MATCH($B23&amp;$C23,$J$2:$J$9,0)),1,INDEX($N$2:$N$9,MATCH($B23&amp;$C23,$J$2:$J$9,0))))</f>
        <v>3.3826027116200144</v>
      </c>
      <c r="Y23" s="119">
        <f ca="1">SUM(OFFSET('Output data (results)'!$B$10,Y$15-2000+INDEX($I$2:$I$4,MATCH($B$1,$H$2:$H$4,0)),INDEX($M$2:$M$9,MATCH($B23&amp;$C23,$J$2:$J$9,0)),1,INDEX($N$2:$N$9,MATCH($B23&amp;$C23,$J$2:$J$9,0))))</f>
        <v>3.4114707621299263</v>
      </c>
      <c r="Z23" s="119">
        <f ca="1">SUM(OFFSET('Output data (results)'!$B$10,Z$15-2000+INDEX($I$2:$I$4,MATCH($B$1,$H$2:$H$4,0)),INDEX($M$2:$M$9,MATCH($B23&amp;$C23,$J$2:$J$9,0)),1,INDEX($N$2:$N$9,MATCH($B23&amp;$C23,$J$2:$J$9,0))))</f>
        <v>3.4405851804256198</v>
      </c>
      <c r="AA23" s="119">
        <f ca="1">SUM(OFFSET('Output data (results)'!$B$10,AA$15-2000+INDEX($I$2:$I$4,MATCH($B$1,$H$2:$H$4,0)),INDEX($M$2:$M$9,MATCH($B23&amp;$C23,$J$2:$J$9,0)),1,INDEX($N$2:$N$9,MATCH($B23&amp;$C23,$J$2:$J$9,0))))</f>
        <v>3.4699480690767106</v>
      </c>
      <c r="AB23" s="119">
        <f ca="1">SUM(OFFSET('Output data (results)'!$B$10,AB$15-2000+INDEX($I$2:$I$4,MATCH($B$1,$H$2:$H$4,0)),INDEX($M$2:$M$9,MATCH($B23&amp;$C23,$J$2:$J$9,0)),1,INDEX($N$2:$N$9,MATCH($B23&amp;$C23,$J$2:$J$9,0))))</f>
        <v>3.4953521017314642</v>
      </c>
      <c r="AC23" s="119">
        <f ca="1">SUM(OFFSET('Output data (results)'!$B$10,AC$15-2000+INDEX($I$2:$I$4,MATCH($B$1,$H$2:$H$4,0)),INDEX($M$2:$M$9,MATCH($B23&amp;$C23,$J$2:$J$9,0)),1,INDEX($N$2:$N$9,MATCH($B23&amp;$C23,$J$2:$J$9,0))))</f>
        <v>3.5209421212835057</v>
      </c>
      <c r="AD23" s="119">
        <f ca="1">SUM(OFFSET('Output data (results)'!$B$10,AD$15-2000+INDEX($I$2:$I$4,MATCH($B$1,$H$2:$H$4,0)),INDEX($M$2:$M$9,MATCH($B23&amp;$C23,$J$2:$J$9,0)),1,INDEX($N$2:$N$9,MATCH($B23&amp;$C23,$J$2:$J$9,0))))</f>
        <v>3.5467194893720086</v>
      </c>
      <c r="AE23" s="119">
        <f ca="1">SUM(OFFSET('Output data (results)'!$B$10,AE$15-2000+INDEX($I$2:$I$4,MATCH($B$1,$H$2:$H$4,0)),INDEX($M$2:$M$9,MATCH($B23&amp;$C23,$J$2:$J$9,0)),1,INDEX($N$2:$N$9,MATCH($B23&amp;$C23,$J$2:$J$9,0))))</f>
        <v>3.5726855776049167</v>
      </c>
      <c r="AF23" s="119">
        <f ca="1">SUM(OFFSET('Output data (results)'!$B$10,AF$15-2000+INDEX($I$2:$I$4,MATCH($B$1,$H$2:$H$4,0)),INDEX($M$2:$M$9,MATCH($B23&amp;$C23,$J$2:$J$9,0)),1,INDEX($N$2:$N$9,MATCH($B23&amp;$C23,$J$2:$J$9,0))))</f>
        <v>3.5988417676319293</v>
      </c>
      <c r="AG23" s="119">
        <f ca="1">SUM(OFFSET('Output data (results)'!$B$10,AG$15-2000+INDEX($I$2:$I$4,MATCH($B$1,$H$2:$H$4,0)),INDEX($M$2:$M$9,MATCH($B23&amp;$C23,$J$2:$J$9,0)),1,INDEX($N$2:$N$9,MATCH($B23&amp;$C23,$J$2:$J$9,0))))</f>
        <v>3.6211939201999317</v>
      </c>
      <c r="AH23" s="119">
        <f ca="1">SUM(OFFSET('Output data (results)'!$B$10,AH$15-2000+INDEX($I$2:$I$4,MATCH($B$1,$H$2:$H$4,0)),INDEX($M$2:$M$9,MATCH($B23&amp;$C23,$J$2:$J$9,0)),1,INDEX($N$2:$N$9,MATCH($B23&amp;$C23,$J$2:$J$9,0))))</f>
        <v>3.6436849004121257</v>
      </c>
      <c r="AI23" s="119">
        <f ca="1">SUM(OFFSET('Output data (results)'!$B$10,AI$15-2000+INDEX($I$2:$I$4,MATCH($B$1,$H$2:$H$4,0)),INDEX($M$2:$M$9,MATCH($B23&amp;$C23,$J$2:$J$9,0)),1,INDEX($N$2:$N$9,MATCH($B23&amp;$C23,$J$2:$J$9,0))))</f>
        <v>3.666315570517225</v>
      </c>
      <c r="AJ23" s="119">
        <f ca="1">SUM(OFFSET('Output data (results)'!$B$10,AJ$15-2000+INDEX($I$2:$I$4,MATCH($B$1,$H$2:$H$4,0)),INDEX($M$2:$M$9,MATCH($B23&amp;$C23,$J$2:$J$9,0)),1,INDEX($N$2:$N$9,MATCH($B23&amp;$C23,$J$2:$J$9,0))))</f>
        <v>3.6890867981193103</v>
      </c>
      <c r="AK23" s="119">
        <f ca="1">SUM(OFFSET('Output data (results)'!$B$10,AK$15-2000+INDEX($I$2:$I$4,MATCH($B$1,$H$2:$H$4,0)),INDEX($M$2:$M$9,MATCH($B23&amp;$C23,$J$2:$J$9,0)),1,INDEX($N$2:$N$9,MATCH($B23&amp;$C23,$J$2:$J$9,0))))</f>
        <v>3.711999456211089</v>
      </c>
      <c r="AL23" s="119">
        <f ca="1">SUM(OFFSET('Output data (results)'!$B$10,AL$15-2000+INDEX($I$2:$I$4,MATCH($B$1,$H$2:$H$4,0)),INDEX($M$2:$M$9,MATCH($B23&amp;$C23,$J$2:$J$9,0)),1,INDEX($N$2:$N$9,MATCH($B23&amp;$C23,$J$2:$J$9,0))))</f>
        <v>3.7309486194433799</v>
      </c>
      <c r="AM23" s="119">
        <f ca="1">SUM(OFFSET('Output data (results)'!$B$10,AM$15-2000+INDEX($I$2:$I$4,MATCH($B$1,$H$2:$H$4,0)),INDEX($M$2:$M$9,MATCH($B23&amp;$C23,$J$2:$J$9,0)),1,INDEX($N$2:$N$9,MATCH($B23&amp;$C23,$J$2:$J$9,0))))</f>
        <v>3.74999451512174</v>
      </c>
      <c r="AN23" s="119">
        <f ca="1">SUM(OFFSET('Output data (results)'!$B$10,AN$15-2000+INDEX($I$2:$I$4,MATCH($B$1,$H$2:$H$4,0)),INDEX($M$2:$M$9,MATCH($B23&amp;$C23,$J$2:$J$9,0)),1,INDEX($N$2:$N$9,MATCH($B23&amp;$C23,$J$2:$J$9,0))))</f>
        <v>3.769137637049826</v>
      </c>
      <c r="AO23" s="119">
        <f ca="1">SUM(OFFSET('Output data (results)'!$B$10,AO$15-2000+INDEX($I$2:$I$4,MATCH($B$1,$H$2:$H$4,0)),INDEX($M$2:$M$9,MATCH($B23&amp;$C23,$J$2:$J$9,0)),1,INDEX($N$2:$N$9,MATCH($B23&amp;$C23,$J$2:$J$9,0))))</f>
        <v>3.7883784815520856</v>
      </c>
      <c r="AP23" s="119">
        <f ca="1">SUM(OFFSET('Output data (results)'!$B$10,AP$15-2000+INDEX($I$2:$I$4,MATCH($B$1,$H$2:$H$4,0)),INDEX($M$2:$M$9,MATCH($B23&amp;$C23,$J$2:$J$9,0)),1,INDEX($N$2:$N$9,MATCH($B23&amp;$C23,$J$2:$J$9,0))))</f>
        <v>3.8077175474866229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8671875" defaultRowHeight="15.6"/>
  <cols>
    <col min="1" max="1" width="32.6640625" style="157" customWidth="1"/>
    <col min="2" max="2" width="31" style="157" customWidth="1"/>
    <col min="3" max="3" width="71.33203125" style="157" bestFit="1" customWidth="1"/>
    <col min="4" max="4" width="70.5546875" style="157" bestFit="1" customWidth="1"/>
    <col min="5" max="5" width="21.6640625" style="157" customWidth="1"/>
    <col min="6" max="6" width="24.44140625" style="157" customWidth="1"/>
    <col min="7" max="7" width="21.88671875" style="157" customWidth="1"/>
    <col min="8" max="8" width="20" style="157" customWidth="1"/>
    <col min="9" max="9" width="17.6640625" style="157" customWidth="1"/>
    <col min="10" max="10" width="16.88671875" style="157" customWidth="1"/>
    <col min="11" max="12" width="13.44140625" style="157" bestFit="1" customWidth="1"/>
    <col min="13" max="13" width="13.109375" style="157" customWidth="1"/>
    <col min="14" max="14" width="14.6640625" style="157" bestFit="1" customWidth="1"/>
    <col min="15" max="15" width="11.6640625" style="157" customWidth="1"/>
    <col min="16" max="16" width="11.33203125" style="157" customWidth="1"/>
    <col min="17" max="17" width="12.6640625" customWidth="1"/>
    <col min="18" max="18" width="11" customWidth="1"/>
    <col min="19" max="20" width="9.109375" customWidth="1"/>
    <col min="21" max="16384" width="8.88671875" style="157"/>
  </cols>
  <sheetData>
    <row r="1" spans="1:14" ht="16.2" thickBot="1">
      <c r="A1" s="156" t="s">
        <v>231</v>
      </c>
    </row>
    <row r="2" spans="1:14">
      <c r="A2" s="402"/>
      <c r="B2" s="403" t="s">
        <v>2</v>
      </c>
      <c r="C2" s="403" t="s">
        <v>4</v>
      </c>
      <c r="D2" s="404" t="s">
        <v>468</v>
      </c>
    </row>
    <row r="3" spans="1:14" ht="31.2">
      <c r="A3" s="162" t="s">
        <v>488</v>
      </c>
      <c r="B3" s="365" t="s">
        <v>227</v>
      </c>
      <c r="C3" s="360">
        <v>578.73</v>
      </c>
      <c r="D3" s="169" t="s">
        <v>487</v>
      </c>
    </row>
    <row r="4" spans="1:14" ht="31.2">
      <c r="A4" s="162" t="s">
        <v>486</v>
      </c>
      <c r="B4" s="365" t="s">
        <v>227</v>
      </c>
      <c r="C4" s="360">
        <f>'Waste Summary 2017 SASOW'!P6</f>
        <v>424.26313389388866</v>
      </c>
      <c r="D4" s="169" t="s">
        <v>469</v>
      </c>
    </row>
    <row r="5" spans="1:14">
      <c r="A5" s="162" t="s">
        <v>475</v>
      </c>
      <c r="B5" s="401" t="str">
        <f>'Waste Summary 2017 SASOW'!C34</f>
        <v>ton industrial waste/Rmill GDP</v>
      </c>
      <c r="C5" s="360">
        <f>'Waste Summary 2017 SASOW'!B34</f>
        <v>28.06789123869763</v>
      </c>
      <c r="D5" s="169" t="s">
        <v>470</v>
      </c>
    </row>
    <row r="6" spans="1:14" ht="31.2">
      <c r="A6" s="162" t="s">
        <v>570</v>
      </c>
      <c r="B6" s="401" t="str">
        <f>B5</f>
        <v>ton industrial waste/Rmill GDP</v>
      </c>
      <c r="C6" s="360">
        <f>'Waste Summary 2017 SASOW'!B36</f>
        <v>12.031045626813224</v>
      </c>
      <c r="D6" s="169" t="s">
        <v>470</v>
      </c>
    </row>
    <row r="7" spans="1:14" ht="55.95" customHeight="1">
      <c r="A7" s="162" t="s">
        <v>476</v>
      </c>
      <c r="B7" s="163" t="s">
        <v>3</v>
      </c>
      <c r="C7" s="360">
        <f>37*365/1000</f>
        <v>13.505000000000001</v>
      </c>
      <c r="D7" s="169" t="s">
        <v>471</v>
      </c>
    </row>
    <row r="8" spans="1:14" ht="31.2">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2" thickBot="1">
      <c r="A11" s="422" t="s">
        <v>533</v>
      </c>
      <c r="B11" s="280"/>
      <c r="C11"/>
      <c r="D11" s="3"/>
      <c r="E11" s="3"/>
      <c r="F11" s="3"/>
      <c r="G11" s="3"/>
      <c r="H11" s="3"/>
      <c r="I11" s="3"/>
      <c r="J11" s="3"/>
      <c r="K11" s="3"/>
      <c r="L11" s="3"/>
      <c r="M11" s="3"/>
      <c r="N11" s="3"/>
    </row>
    <row r="12" spans="1:14" ht="31.2">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2"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2" thickBot="1">
      <c r="A32"/>
      <c r="B32" s="293"/>
      <c r="C32" s="100"/>
      <c r="D32" s="100"/>
      <c r="E32" s="100"/>
      <c r="F32" s="100"/>
      <c r="G32" s="100"/>
      <c r="H32" s="100"/>
      <c r="I32" s="100"/>
      <c r="J32" s="100"/>
      <c r="K32" s="100"/>
      <c r="L32" s="100"/>
      <c r="M32" s="100"/>
      <c r="N32" s="294"/>
      <c r="O32" s="294"/>
      <c r="P32" s="294"/>
    </row>
    <row r="33" spans="1:29">
      <c r="A33" s="1403"/>
      <c r="B33" s="1400" t="s">
        <v>485</v>
      </c>
      <c r="C33" s="1401"/>
      <c r="D33" s="1401"/>
      <c r="E33" s="1401"/>
      <c r="F33" s="1402"/>
      <c r="G33" s="1400" t="s">
        <v>532</v>
      </c>
      <c r="H33" s="1401"/>
      <c r="I33" s="1402"/>
      <c r="J33" s="100"/>
      <c r="L33" s="100"/>
      <c r="M33" s="100"/>
      <c r="N33" s="294"/>
      <c r="O33" s="294"/>
      <c r="P33" s="294"/>
    </row>
    <row r="34" spans="1:29" ht="16.2" thickBot="1">
      <c r="A34" s="1404"/>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2"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2" thickBot="1">
      <c r="H40" s="295"/>
      <c r="L40" s="381"/>
    </row>
    <row r="41" spans="1:29">
      <c r="A41" s="1405" t="s">
        <v>615</v>
      </c>
      <c r="B41" s="1406"/>
      <c r="C41" s="1407"/>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 customHeight="1" thickBot="1">
      <c r="A43" s="427" t="s">
        <v>506</v>
      </c>
      <c r="B43" s="428" t="s">
        <v>229</v>
      </c>
      <c r="C43" s="508">
        <f>Parameters!D12*(SUM(Parameters!D17:H17))+Parameters!D13*(SUM(Parameters!D18:H18))+Parameters!D14*(SUM(Parameters!D19:H19))</f>
        <v>0.71479999999999999</v>
      </c>
    </row>
    <row r="44" spans="1:29" ht="16.2" thickBot="1">
      <c r="A44" s="295"/>
      <c r="C44" s="100"/>
      <c r="F44" s="380"/>
      <c r="G44" s="382"/>
      <c r="H44" s="382"/>
      <c r="I44" s="382"/>
      <c r="J44" s="382"/>
      <c r="K44" s="382"/>
      <c r="L44" s="382"/>
      <c r="M44" s="362"/>
    </row>
    <row r="45" spans="1:29">
      <c r="A45" s="295"/>
      <c r="C45" s="100"/>
    </row>
    <row r="46" spans="1:29" ht="16.2" thickBot="1">
      <c r="A46" s="295"/>
      <c r="C46" s="100"/>
    </row>
    <row r="47" spans="1:29" ht="16.2" thickBot="1">
      <c r="A47" s="295"/>
      <c r="B47" s="1419" t="s">
        <v>527</v>
      </c>
      <c r="C47" s="1420"/>
      <c r="D47" s="1420"/>
      <c r="E47" s="1421"/>
      <c r="F47" s="955" t="s">
        <v>529</v>
      </c>
      <c r="G47" s="955"/>
      <c r="H47" s="955"/>
      <c r="I47" s="1408" t="s">
        <v>631</v>
      </c>
      <c r="J47" s="1408"/>
      <c r="K47" s="1408"/>
      <c r="L47" s="1408"/>
      <c r="M47" s="1409"/>
      <c r="N47" s="1410" t="s">
        <v>530</v>
      </c>
      <c r="O47" s="1408"/>
      <c r="P47" s="1408"/>
      <c r="Q47" s="1408"/>
      <c r="R47" s="1408"/>
      <c r="S47" s="1408"/>
      <c r="T47" s="1408"/>
      <c r="U47" s="1408"/>
      <c r="V47" s="1408"/>
      <c r="W47" s="1408"/>
      <c r="X47" s="1408"/>
      <c r="Y47" s="1408"/>
      <c r="Z47" s="1408"/>
      <c r="AA47" s="1408"/>
      <c r="AB47" s="1408"/>
      <c r="AC47" s="1409"/>
    </row>
    <row r="48" spans="1:29" ht="93.6">
      <c r="A48" s="1417"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11" t="s">
        <v>481</v>
      </c>
      <c r="O48" s="1412"/>
      <c r="P48" s="1412"/>
      <c r="Q48" s="1412"/>
      <c r="R48" s="1412"/>
      <c r="S48" s="1412"/>
      <c r="T48" s="1412"/>
      <c r="U48" s="1413"/>
      <c r="V48" s="1414" t="s">
        <v>739</v>
      </c>
      <c r="W48" s="1415"/>
      <c r="X48" s="1415"/>
      <c r="Y48" s="1415"/>
      <c r="Z48" s="1415"/>
      <c r="AA48" s="1415"/>
      <c r="AB48" s="1415"/>
      <c r="AC48" s="1416"/>
    </row>
    <row r="49" spans="1:29" ht="39" customHeight="1" thickBot="1">
      <c r="A49" s="1418"/>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5"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2"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4436.7667702664276</v>
      </c>
      <c r="D119" s="1356">
        <f>INDEX(Drivers!$A$25:$AM$25,1,$A119-2018)/INDEX(Drivers!$A$25:$AM$25,1,$A119-2019)*D118</f>
        <v>53169997.747000799</v>
      </c>
      <c r="E119" s="681">
        <f t="shared" ref="E119:E150" si="52">D119</f>
        <v>53169997.747000799</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106548.94119560494</v>
      </c>
      <c r="M119" s="1122">
        <f t="shared" ref="M119:M150" si="55">C119*J119*1000/1000+E119/1000</f>
        <v>106548.94119560494</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59.308690000000006</v>
      </c>
      <c r="C120" s="1359">
        <f>INDEX(Drivers!$A$16:$AM$16,1,$A120-2018)</f>
        <v>4197.6296598339768</v>
      </c>
      <c r="D120" s="1356">
        <f>INDEX(Drivers!$A$25:$AM$25,1,$A120-2018)/INDEX(Drivers!$A$25:$AM$25,1,$A120-2019)*D119</f>
        <v>50963260.465782054</v>
      </c>
      <c r="E120" s="681">
        <f t="shared" si="52"/>
        <v>50963260.465782054</v>
      </c>
      <c r="F120" s="965"/>
      <c r="G120" s="965"/>
      <c r="H120" s="966"/>
      <c r="I120" s="1119">
        <f t="shared" si="51"/>
        <v>424.26313389388866</v>
      </c>
      <c r="J120" s="1120">
        <f t="shared" si="53"/>
        <v>12.031045626813224</v>
      </c>
      <c r="K120" s="1121">
        <f t="shared" si="41"/>
        <v>25162.490686541139</v>
      </c>
      <c r="L120" s="1121">
        <f t="shared" si="54"/>
        <v>101465.1344277091</v>
      </c>
      <c r="M120" s="1122">
        <f t="shared" si="55"/>
        <v>101465.1344277091</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59.991580449204264</v>
      </c>
      <c r="C121" s="1359">
        <f>INDEX(Drivers!$A$16:$AM$16,1,$A121-2018)</f>
        <v>4326.0661578199733</v>
      </c>
      <c r="D121" s="1356">
        <f>INDEX(Drivers!$A$25:$AM$25,1,$A121-2018)/INDEX(Drivers!$A$25:$AM$25,1,$A121-2019)*D120</f>
        <v>50546075.397081107</v>
      </c>
      <c r="E121" s="681">
        <f t="shared" si="52"/>
        <v>50546075.397081107</v>
      </c>
      <c r="F121" s="965"/>
      <c r="G121" s="965"/>
      <c r="H121" s="966"/>
      <c r="I121" s="1119">
        <f t="shared" si="51"/>
        <v>424.26313389388866</v>
      </c>
      <c r="J121" s="1120">
        <f t="shared" si="53"/>
        <v>12.031045626813224</v>
      </c>
      <c r="K121" s="1121">
        <f t="shared" si="41"/>
        <v>25452.215928626742</v>
      </c>
      <c r="L121" s="1121">
        <f t="shared" si="54"/>
        <v>102593.17472642579</v>
      </c>
      <c r="M121" s="1122">
        <f t="shared" si="55"/>
        <v>102593.17472642579</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60.682333816399378</v>
      </c>
      <c r="C122" s="1359">
        <f>INDEX(Drivers!$A$16:$AM$16,1,$A122-2018)</f>
        <v>4414.4786843532656</v>
      </c>
      <c r="D122" s="1356">
        <f>INDEX(Drivers!$A$25:$AM$25,1,$A122-2018)/INDEX(Drivers!$A$25:$AM$25,1,$A122-2019)*D121</f>
        <v>50359792.84713313</v>
      </c>
      <c r="E122" s="681">
        <f t="shared" si="52"/>
        <v>50359792.84713313</v>
      </c>
      <c r="F122" s="965"/>
      <c r="G122" s="965"/>
      <c r="H122" s="966"/>
      <c r="I122" s="1119">
        <f t="shared" si="51"/>
        <v>424.26313389388866</v>
      </c>
      <c r="J122" s="1120">
        <f t="shared" si="53"/>
        <v>12.031045626813224</v>
      </c>
      <c r="K122" s="1121">
        <f t="shared" si="41"/>
        <v>25745.277116940699</v>
      </c>
      <c r="L122" s="1121">
        <f t="shared" si="54"/>
        <v>103470.58731718169</v>
      </c>
      <c r="M122" s="1122">
        <f t="shared" si="55"/>
        <v>103470.58731718169</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61.381040636574369</v>
      </c>
      <c r="C123" s="1359">
        <f>INDEX(Drivers!$A$16:$AM$16,1,$A123-2018)</f>
        <v>4492.6346436826334</v>
      </c>
      <c r="D123" s="1356">
        <f>INDEX(Drivers!$A$25:$AM$25,1,$A123-2018)/INDEX(Drivers!$A$25:$AM$25,1,$A123-2019)*D122</f>
        <v>48665382.683029473</v>
      </c>
      <c r="E123" s="681">
        <f t="shared" si="52"/>
        <v>48665382.683029473</v>
      </c>
      <c r="F123" s="965"/>
      <c r="G123" s="965"/>
      <c r="H123" s="966"/>
      <c r="I123" s="1119">
        <f t="shared" si="51"/>
        <v>424.26313389388866</v>
      </c>
      <c r="J123" s="1120">
        <f t="shared" si="53"/>
        <v>12.031045626813224</v>
      </c>
      <c r="K123" s="1121">
        <f t="shared" si="41"/>
        <v>26041.712662141173</v>
      </c>
      <c r="L123" s="1121">
        <f t="shared" si="54"/>
        <v>102716.47506577701</v>
      </c>
      <c r="M123" s="1122">
        <f t="shared" si="55"/>
        <v>102716.47506577701</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62.087792487153699</v>
      </c>
      <c r="C124" s="1359">
        <f>INDEX(Drivers!$A$16:$AM$16,1,$A124-2018)</f>
        <v>4579.7873251148294</v>
      </c>
      <c r="D124" s="1356">
        <f>INDEX(Drivers!$A$25:$AM$25,1,$A124-2018)/INDEX(Drivers!$A$25:$AM$25,1,$A124-2019)*D123</f>
        <v>48951332.662830688</v>
      </c>
      <c r="E124" s="681">
        <f t="shared" si="52"/>
        <v>48951332.662830688</v>
      </c>
      <c r="F124" s="965"/>
      <c r="G124" s="965"/>
      <c r="H124" s="966"/>
      <c r="I124" s="1119">
        <f t="shared" si="51"/>
        <v>424.26313389388866</v>
      </c>
      <c r="J124" s="1120">
        <f t="shared" si="53"/>
        <v>12.031045626813224</v>
      </c>
      <c r="K124" s="1121">
        <f t="shared" si="41"/>
        <v>26341.561417153265</v>
      </c>
      <c r="L124" s="1121">
        <f t="shared" si="54"/>
        <v>104050.96293238809</v>
      </c>
      <c r="M124" s="1122">
        <f t="shared" si="55"/>
        <v>104050.96293238809</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62.802682000000026</v>
      </c>
      <c r="C125" s="1359">
        <f>INDEX(Drivers!$A$16:$AM$16,1,$A125-2018)</f>
        <v>4678.6267528880244</v>
      </c>
      <c r="D125" s="1356">
        <f>INDEX(Drivers!$A$25:$AM$25,1,$A125-2018)/INDEX(Drivers!$A$25:$AM$25,1,$A125-2019)*D124</f>
        <v>48538822.712079689</v>
      </c>
      <c r="E125" s="681">
        <f t="shared" si="52"/>
        <v>48538822.712079689</v>
      </c>
      <c r="F125" s="965"/>
      <c r="G125" s="965"/>
      <c r="H125" s="966"/>
      <c r="I125" s="1119">
        <f t="shared" si="51"/>
        <v>424.26313389388866</v>
      </c>
      <c r="J125" s="1120">
        <f t="shared" si="53"/>
        <v>12.031045626813224</v>
      </c>
      <c r="K125" s="1121">
        <f t="shared" si="41"/>
        <v>26644.862682261322</v>
      </c>
      <c r="L125" s="1121">
        <f t="shared" si="54"/>
        <v>104827.5946469045</v>
      </c>
      <c r="M125" s="1122">
        <f t="shared" si="55"/>
        <v>104827.5946469045</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63.421065342005143</v>
      </c>
      <c r="C126" s="1359">
        <f>INDEX(Drivers!$A$16:$AM$16,1,$A126-2018)</f>
        <v>4782.707139404285</v>
      </c>
      <c r="D126" s="1356">
        <f>INDEX(Drivers!$A$25:$AM$25,1,$A126-2018)/INDEX(Drivers!$A$25:$AM$25,1,$A126-2019)*D125</f>
        <v>47372560.213695109</v>
      </c>
      <c r="E126" s="681">
        <f t="shared" si="52"/>
        <v>47372560.213695109</v>
      </c>
      <c r="F126" s="965"/>
      <c r="G126" s="965"/>
      <c r="H126" s="966"/>
      <c r="I126" s="1119">
        <f t="shared" si="51"/>
        <v>424.26313389388866</v>
      </c>
      <c r="J126" s="1120">
        <f t="shared" si="53"/>
        <v>12.031045626813224</v>
      </c>
      <c r="K126" s="1121">
        <f t="shared" si="41"/>
        <v>26907.219936888188</v>
      </c>
      <c r="L126" s="1121">
        <f t="shared" si="54"/>
        <v>104913.52802755342</v>
      </c>
      <c r="M126" s="1122">
        <f t="shared" si="55"/>
        <v>104913.52802755342</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64.045537563425796</v>
      </c>
      <c r="C127" s="1359">
        <f>INDEX(Drivers!$A$16:$AM$16,1,$A127-2018)</f>
        <v>4895.4664822406658</v>
      </c>
      <c r="D127" s="1356">
        <f>INDEX(Drivers!$A$25:$AM$25,1,$A127-2018)/INDEX(Drivers!$A$25:$AM$25,1,$A127-2019)*D126</f>
        <v>47544656.205152296</v>
      </c>
      <c r="E127" s="681">
        <f t="shared" si="52"/>
        <v>47544656.205152296</v>
      </c>
      <c r="F127" s="965"/>
      <c r="G127" s="965"/>
      <c r="H127" s="966"/>
      <c r="I127" s="1119">
        <f t="shared" si="51"/>
        <v>424.26313389388866</v>
      </c>
      <c r="J127" s="1120">
        <f t="shared" si="53"/>
        <v>12.031045626813224</v>
      </c>
      <c r="K127" s="1121">
        <f t="shared" si="41"/>
        <v>27172.160478577796</v>
      </c>
      <c r="L127" s="1121">
        <f t="shared" si="54"/>
        <v>106442.23681752456</v>
      </c>
      <c r="M127" s="1122">
        <f t="shared" si="55"/>
        <v>106442.23681752456</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64.676158618096451</v>
      </c>
      <c r="C128" s="1359">
        <f>INDEX(Drivers!$A$16:$AM$16,1,$A128-2018)</f>
        <v>5007.2618284439486</v>
      </c>
      <c r="D128" s="1356">
        <f>INDEX(Drivers!$A$25:$AM$25,1,$A128-2018)/INDEX(Drivers!$A$25:$AM$25,1,$A128-2019)*D127</f>
        <v>47264829.111875661</v>
      </c>
      <c r="E128" s="681">
        <f t="shared" si="52"/>
        <v>47264829.111875661</v>
      </c>
      <c r="F128" s="965"/>
      <c r="G128" s="965"/>
      <c r="H128" s="966"/>
      <c r="I128" s="1119">
        <f t="shared" si="51"/>
        <v>424.26313389388866</v>
      </c>
      <c r="J128" s="1120">
        <f t="shared" si="53"/>
        <v>12.031045626813224</v>
      </c>
      <c r="K128" s="1121">
        <f t="shared" si="41"/>
        <v>27439.709743531836</v>
      </c>
      <c r="L128" s="1121">
        <f t="shared" si="54"/>
        <v>107507.42463528502</v>
      </c>
      <c r="M128" s="1122">
        <f t="shared" si="55"/>
        <v>107507.42463528502</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65.31298905018393</v>
      </c>
      <c r="C129" s="1359">
        <f>INDEX(Drivers!$A$16:$AM$16,1,$A129-2018)</f>
        <v>5127.4326756514902</v>
      </c>
      <c r="D129" s="1356">
        <f>INDEX(Drivers!$A$25:$AM$25,1,$A129-2018)/INDEX(Drivers!$A$25:$AM$25,1,$A129-2019)*D128</f>
        <v>45911028.865820996</v>
      </c>
      <c r="E129" s="681">
        <f t="shared" si="52"/>
        <v>45911028.865820996</v>
      </c>
      <c r="F129" s="965"/>
      <c r="G129" s="965"/>
      <c r="H129" s="966"/>
      <c r="I129" s="1119">
        <f t="shared" si="51"/>
        <v>424.26313389388866</v>
      </c>
      <c r="J129" s="1120">
        <f t="shared" si="53"/>
        <v>12.031045626813224</v>
      </c>
      <c r="K129" s="1121">
        <f t="shared" si="41"/>
        <v>27709.893418408268</v>
      </c>
      <c r="L129" s="1121">
        <f t="shared" si="54"/>
        <v>107599.40533499708</v>
      </c>
      <c r="M129" s="1122">
        <f t="shared" si="55"/>
        <v>107599.40533499708</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65.956090000000003</v>
      </c>
      <c r="C130" s="1359">
        <f>INDEX(Drivers!$A$16:$AM$16,1,$A130-2018)</f>
        <v>5247.6087278453806</v>
      </c>
      <c r="D130" s="1356">
        <f>INDEX(Drivers!$A$25:$AM$25,1,$A130-2018)/INDEX(Drivers!$A$25:$AM$25,1,$A130-2019)*D129</f>
        <v>43025080.542663962</v>
      </c>
      <c r="E130" s="681">
        <f t="shared" si="52"/>
        <v>43025080.542663962</v>
      </c>
      <c r="F130" s="965"/>
      <c r="G130" s="965"/>
      <c r="H130" s="966"/>
      <c r="I130" s="1119">
        <f t="shared" si="51"/>
        <v>424.26313389388866</v>
      </c>
      <c r="J130" s="1120">
        <f t="shared" si="53"/>
        <v>12.031045626813224</v>
      </c>
      <c r="K130" s="1121">
        <f t="shared" si="41"/>
        <v>27982.737442787373</v>
      </c>
      <c r="L130" s="1121">
        <f t="shared" si="54"/>
        <v>106159.30057903504</v>
      </c>
      <c r="M130" s="1122">
        <f t="shared" si="55"/>
        <v>106159.30057903504</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66.518977190687664</v>
      </c>
      <c r="C131" s="1359">
        <f>INDEX(Drivers!$A$16:$AM$16,1,$A131-2018)</f>
        <v>5388.2194214943684</v>
      </c>
      <c r="D131" s="1356">
        <f>INDEX(Drivers!$A$25:$AM$25,1,$A131-2018)/INDEX(Drivers!$A$25:$AM$25,1,$A131-2019)*D130</f>
        <v>41478479.110071354</v>
      </c>
      <c r="E131" s="681">
        <f t="shared" si="52"/>
        <v>41478479.110071354</v>
      </c>
      <c r="F131" s="965"/>
      <c r="G131" s="965"/>
      <c r="H131" s="966"/>
      <c r="I131" s="1119">
        <f t="shared" si="51"/>
        <v>424.26313389388866</v>
      </c>
      <c r="J131" s="1120">
        <f t="shared" si="53"/>
        <v>12.031045626813224</v>
      </c>
      <c r="K131" s="1121">
        <f t="shared" si="41"/>
        <v>28221.549726337245</v>
      </c>
      <c r="L131" s="1121">
        <f t="shared" si="54"/>
        <v>106304.39281735125</v>
      </c>
      <c r="M131" s="1122">
        <f t="shared" si="55"/>
        <v>106304.39281735125</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67.08666821358311</v>
      </c>
      <c r="C132" s="1359">
        <f>INDEX(Drivers!$A$16:$AM$16,1,$A132-2018)</f>
        <v>5536.7385220125598</v>
      </c>
      <c r="D132" s="1356">
        <f>INDEX(Drivers!$A$25:$AM$25,1,$A132-2018)/INDEX(Drivers!$A$25:$AM$25,1,$A132-2019)*D131</f>
        <v>41255345.957373768</v>
      </c>
      <c r="E132" s="681">
        <f t="shared" si="52"/>
        <v>41255345.957373768</v>
      </c>
      <c r="F132" s="965"/>
      <c r="G132" s="965"/>
      <c r="H132" s="966"/>
      <c r="I132" s="1119">
        <f t="shared" si="51"/>
        <v>424.26313389388866</v>
      </c>
      <c r="J132" s="1120">
        <f t="shared" si="53"/>
        <v>12.031045626813224</v>
      </c>
      <c r="K132" s="1121">
        <f t="shared" si="41"/>
        <v>28462.400098794296</v>
      </c>
      <c r="L132" s="1121">
        <f t="shared" si="54"/>
        <v>107868.0997394413</v>
      </c>
      <c r="M132" s="1122">
        <f t="shared" si="55"/>
        <v>107868.0997394413</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67.659204065895452</v>
      </c>
      <c r="C133" s="1359">
        <f>INDEX(Drivers!$A$16:$AM$16,1,$A133-2018)</f>
        <v>5692.5826618103829</v>
      </c>
      <c r="D133" s="1356">
        <f>INDEX(Drivers!$A$25:$AM$25,1,$A133-2018)/INDEX(Drivers!$A$25:$AM$25,1,$A133-2019)*D132</f>
        <v>40262688.170007341</v>
      </c>
      <c r="E133" s="681">
        <f t="shared" si="52"/>
        <v>40262688.170007341</v>
      </c>
      <c r="F133" s="965"/>
      <c r="G133" s="965"/>
      <c r="H133" s="966"/>
      <c r="I133" s="1119">
        <f t="shared" si="51"/>
        <v>424.26313389388866</v>
      </c>
      <c r="J133" s="1120">
        <f t="shared" si="53"/>
        <v>12.031045626813224</v>
      </c>
      <c r="K133" s="1121">
        <f t="shared" si="41"/>
        <v>28705.305953762938</v>
      </c>
      <c r="L133" s="1121">
        <f t="shared" si="54"/>
        <v>108750.40990865394</v>
      </c>
      <c r="M133" s="1122">
        <f t="shared" si="55"/>
        <v>108750.40990865394</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68.236626094715163</v>
      </c>
      <c r="C134" s="1359">
        <f>INDEX(Drivers!$A$16:$AM$16,1,$A134-2018)</f>
        <v>5868.7539844737303</v>
      </c>
      <c r="D134" s="1356">
        <f>INDEX(Drivers!$A$25:$AM$25,1,$A134-2018)/INDEX(Drivers!$A$25:$AM$25,1,$A134-2019)*D133</f>
        <v>39656259.723391399</v>
      </c>
      <c r="E134" s="681">
        <f t="shared" si="52"/>
        <v>39656259.723391399</v>
      </c>
      <c r="F134" s="965"/>
      <c r="G134" s="965"/>
      <c r="H134" s="966"/>
      <c r="I134" s="1119">
        <f t="shared" si="51"/>
        <v>424.26313389388866</v>
      </c>
      <c r="J134" s="1120">
        <f t="shared" si="53"/>
        <v>12.031045626813224</v>
      </c>
      <c r="K134" s="1121">
        <f t="shared" si="41"/>
        <v>28950.284833289355</v>
      </c>
      <c r="L134" s="1121">
        <f t="shared" si="54"/>
        <v>110263.50668313676</v>
      </c>
      <c r="M134" s="1122">
        <f t="shared" si="55"/>
        <v>110263.50668313676</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68.818976000000006</v>
      </c>
      <c r="C135" s="1359">
        <f>INDEX(Drivers!$A$16:$AM$16,1,$A135-2018)</f>
        <v>6036.7474148806386</v>
      </c>
      <c r="D135" s="1356">
        <f>INDEX(Drivers!$A$25:$AM$25,1,$A135-2018)/INDEX(Drivers!$A$25:$AM$25,1,$A135-2019)*D134</f>
        <v>39791303.809178911</v>
      </c>
      <c r="E135" s="681">
        <f t="shared" si="52"/>
        <v>39791303.809178911</v>
      </c>
      <c r="F135" s="965"/>
      <c r="G135" s="965"/>
      <c r="H135" s="966"/>
      <c r="I135" s="1119">
        <f t="shared" si="51"/>
        <v>424.26313389388866</v>
      </c>
      <c r="J135" s="1120">
        <f t="shared" si="53"/>
        <v>12.031045626813224</v>
      </c>
      <c r="K135" s="1121">
        <f t="shared" si="41"/>
        <v>29197.354429128314</v>
      </c>
      <c r="L135" s="1121">
        <f t="shared" si="54"/>
        <v>112419.68739515464</v>
      </c>
      <c r="M135" s="1122">
        <f t="shared" si="55"/>
        <v>112419.68739515464</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69.322810489383542</v>
      </c>
      <c r="C136" s="1359">
        <f>INDEX(Drivers!$A$16:$AM$16,1,$A136-2018)</f>
        <v>6215.8972497914319</v>
      </c>
      <c r="D136" s="1356">
        <f>INDEX(Drivers!$A$25:$AM$25,1,$A136-2018)/INDEX(Drivers!$A$25:$AM$25,1,$A136-2019)*D135</f>
        <v>39216082.697226301</v>
      </c>
      <c r="E136" s="681">
        <f t="shared" si="52"/>
        <v>39216082.697226301</v>
      </c>
      <c r="F136" s="965"/>
      <c r="G136" s="965"/>
      <c r="H136" s="966"/>
      <c r="I136" s="1119">
        <f t="shared" si="51"/>
        <v>424.26313389388866</v>
      </c>
      <c r="J136" s="1120">
        <f t="shared" si="53"/>
        <v>12.031045626813224</v>
      </c>
      <c r="K136" s="1121">
        <f t="shared" si="41"/>
        <v>29411.112828557998</v>
      </c>
      <c r="L136" s="1121">
        <f t="shared" si="54"/>
        <v>113999.82612104986</v>
      </c>
      <c r="M136" s="1122">
        <f t="shared" si="55"/>
        <v>113999.82612104986</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69.830333629884052</v>
      </c>
      <c r="C137" s="1359">
        <f>INDEX(Drivers!$A$16:$AM$16,1,$A137-2018)</f>
        <v>6413.8831516087803</v>
      </c>
      <c r="D137" s="1356">
        <f>INDEX(Drivers!$A$25:$AM$25,1,$A137-2018)/INDEX(Drivers!$A$25:$AM$25,1,$A137-2019)*D136</f>
        <v>38325122.85038393</v>
      </c>
      <c r="E137" s="681">
        <f t="shared" si="52"/>
        <v>38325122.85038393</v>
      </c>
      <c r="F137" s="965"/>
      <c r="G137" s="965"/>
      <c r="H137" s="966"/>
      <c r="I137" s="1119">
        <f t="shared" si="51"/>
        <v>424.26313389388866</v>
      </c>
      <c r="J137" s="1120">
        <f t="shared" si="53"/>
        <v>12.031045626813224</v>
      </c>
      <c r="K137" s="1121">
        <f t="shared" si="41"/>
        <v>29626.436186670413</v>
      </c>
      <c r="L137" s="1121">
        <f t="shared" si="54"/>
        <v>115490.84369243777</v>
      </c>
      <c r="M137" s="1122">
        <f t="shared" si="55"/>
        <v>115490.84369243777</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70.341572426693446</v>
      </c>
      <c r="C138" s="1359">
        <f>INDEX(Drivers!$A$16:$AM$16,1,$A138-2018)</f>
        <v>6601.8179471225203</v>
      </c>
      <c r="D138" s="1356">
        <f>INDEX(Drivers!$A$25:$AM$25,1,$A138-2018)/INDEX(Drivers!$A$25:$AM$25,1,$A138-2019)*D137</f>
        <v>36655559.518641047</v>
      </c>
      <c r="E138" s="681">
        <f t="shared" si="52"/>
        <v>36655559.518641047</v>
      </c>
      <c r="F138" s="965"/>
      <c r="G138" s="965"/>
      <c r="H138" s="966"/>
      <c r="I138" s="1119">
        <f t="shared" si="51"/>
        <v>424.26313389388866</v>
      </c>
      <c r="J138" s="1120">
        <f t="shared" si="53"/>
        <v>12.031045626813224</v>
      </c>
      <c r="K138" s="1121">
        <f t="shared" si="41"/>
        <v>29843.335960772907</v>
      </c>
      <c r="L138" s="1121">
        <f t="shared" si="54"/>
        <v>116082.3324603865</v>
      </c>
      <c r="M138" s="1122">
        <f t="shared" si="55"/>
        <v>116082.3324603865</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70.856554082712819</v>
      </c>
      <c r="C139" s="1359">
        <f>INDEX(Drivers!$A$16:$AM$16,1,$A139-2018)</f>
        <v>6791.0078131349956</v>
      </c>
      <c r="D139" s="1356">
        <f>INDEX(Drivers!$A$25:$AM$25,1,$A139-2018)/INDEX(Drivers!$A$25:$AM$25,1,$A139-2019)*D138</f>
        <v>34985996.186898179</v>
      </c>
      <c r="E139" s="681">
        <f t="shared" si="52"/>
        <v>34985996.186898179</v>
      </c>
      <c r="F139" s="965"/>
      <c r="G139" s="965"/>
      <c r="H139" s="966"/>
      <c r="I139" s="1119">
        <f t="shared" si="51"/>
        <v>424.26313389388866</v>
      </c>
      <c r="J139" s="1120">
        <f t="shared" si="53"/>
        <v>12.031045626813224</v>
      </c>
      <c r="K139" s="1121">
        <f t="shared" si="41"/>
        <v>30061.823692053553</v>
      </c>
      <c r="L139" s="1121">
        <f t="shared" si="54"/>
        <v>116688.92103877041</v>
      </c>
      <c r="M139" s="1122">
        <f t="shared" si="55"/>
        <v>116688.92103877041</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71.375305999999995</v>
      </c>
      <c r="C140" s="1359">
        <f>INDEX(Drivers!$A$16:$AM$16,1,$A140-2018)</f>
        <v>6984.5262976576987</v>
      </c>
      <c r="D140" s="1356">
        <f>INDEX(Drivers!$A$25:$AM$25,1,$A140-2018)/INDEX(Drivers!$A$25:$AM$25,1,$A140-2019)*D139</f>
        <v>33316432.855155304</v>
      </c>
      <c r="E140" s="681">
        <f t="shared" si="52"/>
        <v>33316432.855155304</v>
      </c>
      <c r="F140" s="965"/>
      <c r="G140" s="965"/>
      <c r="H140" s="966"/>
      <c r="I140" s="1119">
        <f t="shared" si="51"/>
        <v>424.26313389388866</v>
      </c>
      <c r="J140" s="1120">
        <f t="shared" si="53"/>
        <v>12.031045626813224</v>
      </c>
      <c r="K140" s="1121">
        <f t="shared" si="41"/>
        <v>30281.911006195274</v>
      </c>
      <c r="L140" s="1121">
        <f t="shared" si="54"/>
        <v>117347.58742395192</v>
      </c>
      <c r="M140" s="1122">
        <f t="shared" si="55"/>
        <v>117347.58742395192</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71.818612994947316</v>
      </c>
      <c r="C141" s="1359">
        <f>INDEX(Drivers!$A$16:$AM$16,1,$A141-2018)</f>
        <v>7185.3982187188903</v>
      </c>
      <c r="D141" s="1356">
        <f>INDEX(Drivers!$A$25:$AM$25,1,$A141-2018)/INDEX(Drivers!$A$25:$AM$25,1,$A141-2019)*D140</f>
        <v>30696987.018642712</v>
      </c>
      <c r="E141" s="681">
        <f t="shared" si="52"/>
        <v>30696987.018642712</v>
      </c>
      <c r="F141" s="965"/>
      <c r="G141" s="965"/>
      <c r="H141" s="966"/>
      <c r="I141" s="1119">
        <f t="shared" si="51"/>
        <v>424.26313389388866</v>
      </c>
      <c r="J141" s="1120">
        <f t="shared" si="53"/>
        <v>12.031045626813224</v>
      </c>
      <c r="K141" s="1121">
        <f t="shared" si="41"/>
        <v>30469.989821148705</v>
      </c>
      <c r="L141" s="1121">
        <f t="shared" si="54"/>
        <v>117144.84083487216</v>
      </c>
      <c r="M141" s="1122">
        <f t="shared" si="55"/>
        <v>117144.84083487216</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72.264673338395411</v>
      </c>
      <c r="C142" s="1359">
        <f>INDEX(Drivers!$A$16:$AM$16,1,$A142-2018)</f>
        <v>7378.5415978844649</v>
      </c>
      <c r="D142" s="1356">
        <f>INDEX(Drivers!$A$25:$AM$25,1,$A142-2018)/INDEX(Drivers!$A$25:$AM$25,1,$A142-2019)*D141</f>
        <v>28077541.182130113</v>
      </c>
      <c r="E142" s="681">
        <f t="shared" si="52"/>
        <v>28077541.182130113</v>
      </c>
      <c r="F142" s="965"/>
      <c r="G142" s="965"/>
      <c r="H142" s="966"/>
      <c r="I142" s="1119">
        <f t="shared" si="51"/>
        <v>424.26313389388866</v>
      </c>
      <c r="J142" s="1120">
        <f t="shared" si="53"/>
        <v>12.031045626813224</v>
      </c>
      <c r="K142" s="1121">
        <f t="shared" si="41"/>
        <v>30659.23678036578</v>
      </c>
      <c r="L142" s="1121">
        <f t="shared" si="54"/>
        <v>116849.11180561746</v>
      </c>
      <c r="M142" s="1122">
        <f t="shared" si="55"/>
        <v>116849.11180561746</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72.713504131197794</v>
      </c>
      <c r="C143" s="1359">
        <f>INDEX(Drivers!$A$16:$AM$16,1,$A143-2018)</f>
        <v>7577.166622606117</v>
      </c>
      <c r="D143" s="1356">
        <f>INDEX(Drivers!$A$25:$AM$25,1,$A143-2018)/INDEX(Drivers!$A$25:$AM$25,1,$A143-2019)*D142</f>
        <v>25458095.345617522</v>
      </c>
      <c r="E143" s="681">
        <f t="shared" si="52"/>
        <v>25458095.345617522</v>
      </c>
      <c r="F143" s="965"/>
      <c r="G143" s="965"/>
      <c r="H143" s="966"/>
      <c r="I143" s="1119">
        <f t="shared" si="51"/>
        <v>424.26313389388866</v>
      </c>
      <c r="J143" s="1120">
        <f t="shared" si="53"/>
        <v>12.031045626813224</v>
      </c>
      <c r="K143" s="1121">
        <f t="shared" si="41"/>
        <v>30849.659139108197</v>
      </c>
      <c r="L143" s="1121">
        <f t="shared" si="54"/>
        <v>116619.33270415798</v>
      </c>
      <c r="M143" s="1122">
        <f t="shared" si="55"/>
        <v>116619.33270415798</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73.165122580420132</v>
      </c>
      <c r="C144" s="1359">
        <f>INDEX(Drivers!$A$16:$AM$16,1,$A144-2018)</f>
        <v>7783.6023406905715</v>
      </c>
      <c r="D144" s="1356">
        <f>INDEX(Drivers!$A$25:$AM$25,1,$A144-2018)/INDEX(Drivers!$A$25:$AM$25,1,$A144-2019)*D143</f>
        <v>22838649.509104934</v>
      </c>
      <c r="E144" s="681">
        <f t="shared" si="52"/>
        <v>22838649.509104934</v>
      </c>
      <c r="F144" s="965"/>
      <c r="G144" s="965"/>
      <c r="H144" s="966"/>
      <c r="I144" s="1119">
        <f t="shared" si="51"/>
        <v>424.26313389388866</v>
      </c>
      <c r="J144" s="1120">
        <f t="shared" si="53"/>
        <v>12.031045626813224</v>
      </c>
      <c r="K144" s="1121">
        <f t="shared" si="41"/>
        <v>31041.264197699562</v>
      </c>
      <c r="L144" s="1121">
        <f t="shared" si="54"/>
        <v>116483.5244109234</v>
      </c>
      <c r="M144" s="1122">
        <f t="shared" si="55"/>
        <v>116483.5244109234</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73.619545999999971</v>
      </c>
      <c r="C145" s="1359">
        <f>INDEX(Drivers!$A$16:$AM$16,1,$A145-2018)</f>
        <v>7997.9247065980107</v>
      </c>
      <c r="D145" s="1356">
        <f>INDEX(Drivers!$A$25:$AM$25,1,$A145-2018)/INDEX(Drivers!$A$25:$AM$25,1,$A145-2019)*D144</f>
        <v>20219203.672592338</v>
      </c>
      <c r="E145" s="681">
        <f t="shared" si="52"/>
        <v>20219203.672592338</v>
      </c>
      <c r="F145" s="965"/>
      <c r="G145" s="965"/>
      <c r="H145" s="966"/>
      <c r="I145" s="1119">
        <f t="shared" si="51"/>
        <v>424.26313389388866</v>
      </c>
      <c r="J145" s="1120">
        <f t="shared" si="53"/>
        <v>12.031045626813224</v>
      </c>
      <c r="K145" s="1121">
        <f t="shared" si="41"/>
        <v>31234.059301805282</v>
      </c>
      <c r="L145" s="1121">
        <f t="shared" si="54"/>
        <v>116442.60073748977</v>
      </c>
      <c r="M145" s="1122">
        <f t="shared" si="55"/>
        <v>116442.60073748977</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73.995362001779526</v>
      </c>
      <c r="C146" s="1359">
        <f>INDEX(Drivers!$A$16:$AM$16,1,$A146-2018)</f>
        <v>8212.8506709212088</v>
      </c>
      <c r="D146" s="1356">
        <f>INDEX(Drivers!$A$25:$AM$25,1,$A146-2018)/INDEX(Drivers!$A$25:$AM$25,1,$A146-2019)*D145</f>
        <v>16217597.669678843</v>
      </c>
      <c r="E146" s="681">
        <f t="shared" si="52"/>
        <v>16217597.669678843</v>
      </c>
      <c r="F146" s="965"/>
      <c r="G146" s="965"/>
      <c r="H146" s="966"/>
      <c r="I146" s="1119">
        <f t="shared" si="51"/>
        <v>424.26313389388866</v>
      </c>
      <c r="J146" s="1120">
        <f t="shared" si="53"/>
        <v>12.031045626813224</v>
      </c>
      <c r="K146" s="1121">
        <f t="shared" si="41"/>
        <v>31393.50417648775</v>
      </c>
      <c r="L146" s="1121">
        <f t="shared" si="54"/>
        <v>115026.77881773551</v>
      </c>
      <c r="M146" s="1122">
        <f t="shared" si="55"/>
        <v>115026.77881773551</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74.373096484110363</v>
      </c>
      <c r="C147" s="1359">
        <f>INDEX(Drivers!$A$16:$AM$16,1,$A147-2018)</f>
        <v>8261.0803168727289</v>
      </c>
      <c r="D147" s="1356">
        <f>INDEX(Drivers!$A$25:$AM$25,1,$A147-2018)/INDEX(Drivers!$A$25:$AM$25,1,$A147-2019)*D146</f>
        <v>12215991.666765345</v>
      </c>
      <c r="E147" s="681">
        <f t="shared" si="52"/>
        <v>12215991.666765345</v>
      </c>
      <c r="F147" s="965"/>
      <c r="G147" s="965"/>
      <c r="H147" s="966"/>
      <c r="I147" s="1119">
        <f t="shared" si="51"/>
        <v>424.26313389388866</v>
      </c>
      <c r="J147" s="1120">
        <f t="shared" si="53"/>
        <v>12.031045626813224</v>
      </c>
      <c r="K147" s="1121">
        <f t="shared" si="41"/>
        <v>31553.762991741216</v>
      </c>
      <c r="L147" s="1121">
        <f t="shared" si="54"/>
        <v>111605.4258858298</v>
      </c>
      <c r="M147" s="1122">
        <f t="shared" si="55"/>
        <v>111605.4258858298</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74.752759240528661</v>
      </c>
      <c r="C148" s="1359">
        <f>INDEX(Drivers!$A$16:$AM$16,1,$A148-2018)</f>
        <v>8289.8997424694644</v>
      </c>
      <c r="D148" s="1356">
        <f>INDEX(Drivers!$A$25:$AM$25,1,$A148-2018)/INDEX(Drivers!$A$25:$AM$25,1,$A148-2019)*D147</f>
        <v>8214385.6638518488</v>
      </c>
      <c r="E148" s="681">
        <f t="shared" si="52"/>
        <v>8214385.6638518488</v>
      </c>
      <c r="F148" s="965"/>
      <c r="G148" s="965"/>
      <c r="H148" s="966"/>
      <c r="I148" s="1119">
        <f t="shared" si="51"/>
        <v>424.26313389388866</v>
      </c>
      <c r="J148" s="1120">
        <f t="shared" si="53"/>
        <v>12.031045626813224</v>
      </c>
      <c r="K148" s="1121">
        <f t="shared" si="41"/>
        <v>31714.839902602034</v>
      </c>
      <c r="L148" s="1121">
        <f t="shared" si="54"/>
        <v>107950.54770720917</v>
      </c>
      <c r="M148" s="1122">
        <f t="shared" si="55"/>
        <v>107950.54770720917</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75.134360114565098</v>
      </c>
      <c r="C149" s="1359">
        <f>INDEX(Drivers!$A$16:$AM$16,1,$A149-2018)</f>
        <v>8319.7266636271434</v>
      </c>
      <c r="D149" s="1356">
        <f>INDEX(Drivers!$A$25:$AM$25,1,$A149-2018)/INDEX(Drivers!$A$25:$AM$25,1,$A149-2019)*D148</f>
        <v>4212779.6609383523</v>
      </c>
      <c r="E149" s="681">
        <f t="shared" si="52"/>
        <v>4212779.6609383523</v>
      </c>
      <c r="F149" s="965"/>
      <c r="G149" s="965"/>
      <c r="H149" s="966"/>
      <c r="I149" s="1119">
        <f t="shared" si="51"/>
        <v>424.26313389388866</v>
      </c>
      <c r="J149" s="1120">
        <f t="shared" si="53"/>
        <v>12.031045626813224</v>
      </c>
      <c r="K149" s="1121">
        <f t="shared" si="41"/>
        <v>31876.739085317382</v>
      </c>
      <c r="L149" s="1121">
        <f t="shared" si="54"/>
        <v>104307.79075365108</v>
      </c>
      <c r="M149" s="1122">
        <f t="shared" si="55"/>
        <v>104307.79075365108</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2" thickBot="1">
      <c r="A150" s="677">
        <f t="shared" si="56"/>
        <v>2050</v>
      </c>
      <c r="B150" s="1355">
        <f>INDEX(Drivers!$A$8:$AM$8,1,$A150-2018)/1000</f>
        <v>75.517908999999989</v>
      </c>
      <c r="C150" s="1357">
        <f>INDEX(Drivers!$A$16:$AM$16,1,$A150-2018)</f>
        <v>8341.54221182129</v>
      </c>
      <c r="D150" s="1358">
        <f>INDEX(Drivers!$A$25:$AM$25,1,$A150-2018)/INDEX(Drivers!$A$25:$AM$25,1,$A150-2019)*D149</f>
        <v>211173.65802485455</v>
      </c>
      <c r="E150" s="681">
        <f t="shared" si="52"/>
        <v>211173.65802485455</v>
      </c>
      <c r="F150" s="967"/>
      <c r="G150" s="967"/>
      <c r="H150" s="968"/>
      <c r="I150" s="1125">
        <f t="shared" si="51"/>
        <v>424.26313389388866</v>
      </c>
      <c r="J150" s="1126">
        <f t="shared" si="53"/>
        <v>12.031045626813224</v>
      </c>
      <c r="K150" s="1127">
        <f t="shared" si="41"/>
        <v>32039.464737453494</v>
      </c>
      <c r="L150" s="1127">
        <f t="shared" si="54"/>
        <v>100568.64860643529</v>
      </c>
      <c r="M150" s="1128">
        <f t="shared" si="55"/>
        <v>100568.64860643529</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N47:AC47"/>
    <mergeCell ref="N48:U48"/>
    <mergeCell ref="V48:AC48"/>
    <mergeCell ref="A48:A49"/>
    <mergeCell ref="B47:E47"/>
    <mergeCell ref="B33:F33"/>
    <mergeCell ref="G33:I33"/>
    <mergeCell ref="A33:A34"/>
    <mergeCell ref="A41:C41"/>
    <mergeCell ref="I47:M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4.4"/>
  <cols>
    <col min="1" max="1" width="20.33203125" bestFit="1" customWidth="1"/>
    <col min="2" max="2" width="10.88671875" customWidth="1"/>
    <col min="3" max="3" width="17.33203125" customWidth="1"/>
    <col min="4" max="4" width="25.44140625" customWidth="1"/>
    <col min="5" max="5" width="19.6640625" bestFit="1" customWidth="1"/>
    <col min="6" max="6" width="19.88671875" bestFit="1" customWidth="1"/>
    <col min="7" max="7" width="17.33203125" customWidth="1"/>
    <col min="8" max="9" width="15.6640625" customWidth="1"/>
    <col min="10" max="10" width="17" style="93" customWidth="1"/>
    <col min="11" max="11" width="16.88671875" customWidth="1"/>
    <col min="12" max="12" width="13.109375" customWidth="1"/>
    <col min="13" max="13" width="18.44140625" bestFit="1" customWidth="1"/>
    <col min="14" max="14" width="15.6640625" customWidth="1"/>
    <col min="15" max="15" width="15.5546875" customWidth="1"/>
    <col min="16" max="16" width="22.6640625" customWidth="1"/>
    <col min="17" max="17" width="13.6640625" customWidth="1"/>
    <col min="18" max="18" width="20.44140625" customWidth="1"/>
    <col min="19" max="19" width="21.6640625" customWidth="1"/>
    <col min="20" max="20" width="19" customWidth="1"/>
    <col min="21" max="21" width="16" customWidth="1"/>
    <col min="24" max="24" width="10.6640625" customWidth="1"/>
    <col min="25" max="25" width="21.33203125" customWidth="1"/>
    <col min="26" max="26" width="10.6640625" customWidth="1"/>
    <col min="27" max="27" width="13.109375" customWidth="1"/>
    <col min="28" max="28" width="12.109375" customWidth="1"/>
    <col min="29" max="29" width="20.44140625" customWidth="1"/>
    <col min="30" max="30" width="10.6640625" customWidth="1"/>
    <col min="31" max="31" width="11.6640625" customWidth="1"/>
    <col min="32" max="32" width="12.33203125" customWidth="1"/>
    <col min="33" max="33" width="13.109375" customWidth="1"/>
    <col min="34" max="34" width="12.109375" customWidth="1"/>
    <col min="35" max="35" width="16.6640625" style="6" customWidth="1"/>
    <col min="36" max="37" width="14.6640625" customWidth="1"/>
    <col min="38" max="38" width="12.5546875" customWidth="1"/>
    <col min="39" max="39" width="12.6640625" customWidth="1"/>
    <col min="40" max="40" width="14.44140625" customWidth="1"/>
    <col min="41" max="41" width="18.44140625" style="112" customWidth="1"/>
    <col min="42" max="43" width="14.6640625" customWidth="1"/>
    <col min="44" max="44" width="12.5546875" customWidth="1"/>
    <col min="45" max="45" width="12.33203125" customWidth="1"/>
    <col min="46" max="46" width="10.88671875" customWidth="1"/>
    <col min="47" max="47" width="16.44140625" style="112" customWidth="1"/>
    <col min="48" max="48" width="12.6640625" customWidth="1"/>
    <col min="50" max="50" width="13.44140625" customWidth="1"/>
    <col min="51" max="51" width="11.33203125" customWidth="1"/>
    <col min="52" max="52" width="12.6640625" customWidth="1"/>
    <col min="53" max="53" width="21.6640625" style="6" customWidth="1"/>
    <col min="54" max="54" width="11.44140625" customWidth="1"/>
    <col min="58" max="58" width="12.6640625" customWidth="1"/>
    <col min="59" max="59" width="20.6640625" style="6" customWidth="1"/>
    <col min="61" max="61" width="13.6640625" customWidth="1"/>
    <col min="62" max="63" width="22" customWidth="1"/>
    <col min="64" max="64" width="17.6640625" customWidth="1"/>
    <col min="65" max="66" width="20.33203125" customWidth="1"/>
    <col min="67" max="67" width="15.109375" customWidth="1"/>
    <col min="68" max="68" width="21.5546875" customWidth="1"/>
    <col min="69" max="69" width="18.5546875" customWidth="1"/>
    <col min="70" max="70" width="15.88671875" customWidth="1"/>
    <col min="71" max="71" width="13.6640625" customWidth="1"/>
    <col min="72" max="72" width="20.33203125" customWidth="1"/>
    <col min="73" max="73" width="12.88671875" customWidth="1"/>
    <col min="74" max="74" width="16" customWidth="1"/>
    <col min="75" max="75" width="17.44140625" customWidth="1"/>
    <col min="76" max="76" width="12.88671875" customWidth="1"/>
    <col min="77" max="77" width="16" customWidth="1"/>
    <col min="78" max="78" width="19.6640625" customWidth="1"/>
    <col min="80" max="81" width="16.6640625" customWidth="1"/>
    <col min="82" max="82" width="15.5546875" customWidth="1"/>
    <col min="83" max="83" width="18.44140625" customWidth="1"/>
    <col min="84" max="84" width="14.6640625" customWidth="1"/>
    <col min="85" max="85" width="15.6640625" customWidth="1"/>
    <col min="86" max="86" width="14.33203125" customWidth="1"/>
    <col min="87" max="87" width="18" customWidth="1"/>
    <col min="88" max="88" width="12.88671875" customWidth="1"/>
    <col min="89" max="89" width="20.33203125" customWidth="1"/>
    <col min="90" max="90" width="14.5546875" customWidth="1"/>
    <col min="91" max="91" width="18" customWidth="1"/>
  </cols>
  <sheetData>
    <row r="2" spans="1:16381" ht="15" thickBot="1">
      <c r="B2" t="s">
        <v>188</v>
      </c>
      <c r="C2" t="s">
        <v>191</v>
      </c>
    </row>
    <row r="3" spans="1:16381" ht="26.4" thickBot="1">
      <c r="A3" t="s">
        <v>519</v>
      </c>
      <c r="B3">
        <v>21</v>
      </c>
      <c r="C3">
        <v>310</v>
      </c>
      <c r="W3" s="1422" t="s">
        <v>665</v>
      </c>
      <c r="X3" s="1423"/>
      <c r="Y3" s="1423"/>
      <c r="Z3" s="1423"/>
      <c r="AA3" s="1423"/>
      <c r="AB3" s="1423"/>
      <c r="AC3" s="1423"/>
      <c r="AD3" s="1424"/>
      <c r="AE3" s="1" t="s">
        <v>782</v>
      </c>
    </row>
    <row r="4" spans="1:16381" ht="15" thickBot="1"/>
    <row r="5" spans="1:16381" ht="16.2" customHeight="1" thickBot="1">
      <c r="C5" s="1425" t="s">
        <v>294</v>
      </c>
      <c r="D5" s="1426"/>
      <c r="E5" s="1426"/>
      <c r="F5" s="1426"/>
      <c r="G5" s="1426"/>
      <c r="H5" s="1426"/>
      <c r="I5" s="1426"/>
      <c r="J5" s="1426"/>
      <c r="K5" s="1427"/>
      <c r="L5" s="1458" t="s">
        <v>516</v>
      </c>
      <c r="M5" s="1459"/>
      <c r="N5" s="1459"/>
      <c r="O5" s="1459"/>
      <c r="P5" s="1460"/>
      <c r="Q5" s="1464" t="s">
        <v>518</v>
      </c>
      <c r="R5" s="1465"/>
      <c r="S5" s="1465"/>
      <c r="T5" s="1465"/>
      <c r="U5" s="1466"/>
      <c r="W5" s="655"/>
      <c r="X5" s="1430" t="s">
        <v>643</v>
      </c>
      <c r="Y5" s="1431"/>
      <c r="Z5" s="1431"/>
      <c r="AA5" s="1431"/>
      <c r="AB5" s="1432"/>
      <c r="AC5" s="101"/>
      <c r="AD5" s="1433" t="s">
        <v>641</v>
      </c>
      <c r="AE5" s="1434"/>
      <c r="AF5" s="1434"/>
      <c r="AG5" s="1434"/>
      <c r="AH5" s="1435"/>
      <c r="AI5" s="1010"/>
      <c r="AJ5" s="1433" t="s">
        <v>645</v>
      </c>
      <c r="AK5" s="1434"/>
      <c r="AL5" s="1434"/>
      <c r="AM5" s="1434"/>
      <c r="AN5" s="1435"/>
      <c r="AO5" s="1382"/>
      <c r="AP5" s="1433" t="s">
        <v>649</v>
      </c>
      <c r="AQ5" s="1434"/>
      <c r="AR5" s="1434"/>
      <c r="AS5" s="1434"/>
      <c r="AT5" s="1435"/>
      <c r="AU5" s="1382"/>
      <c r="AV5" s="1433" t="s">
        <v>659</v>
      </c>
      <c r="AW5" s="1434"/>
      <c r="AX5" s="1434"/>
      <c r="AY5" s="1434"/>
      <c r="AZ5" s="1435"/>
      <c r="BA5" s="1010"/>
      <c r="BB5" s="1433" t="s">
        <v>655</v>
      </c>
      <c r="BC5" s="1434"/>
      <c r="BD5" s="1434"/>
      <c r="BE5" s="1434"/>
      <c r="BF5" s="1435"/>
      <c r="BH5" s="1469" t="s">
        <v>217</v>
      </c>
      <c r="BI5" s="1449" t="s">
        <v>635</v>
      </c>
      <c r="BJ5" s="1450"/>
      <c r="BK5" s="1453"/>
      <c r="BL5" s="1450" t="s">
        <v>638</v>
      </c>
      <c r="BM5" s="1450"/>
      <c r="BN5" s="1453"/>
      <c r="BO5" s="1449" t="s">
        <v>646</v>
      </c>
      <c r="BP5" s="1450"/>
      <c r="BQ5" s="1450"/>
      <c r="BR5" s="1449" t="s">
        <v>650</v>
      </c>
      <c r="BS5" s="1450"/>
      <c r="BT5" s="1453"/>
      <c r="BU5" s="1449" t="s">
        <v>660</v>
      </c>
      <c r="BV5" s="1450"/>
      <c r="BW5" s="1453"/>
      <c r="BX5" s="1449" t="s">
        <v>656</v>
      </c>
      <c r="BY5" s="1450"/>
      <c r="BZ5" s="1453"/>
      <c r="CB5" s="1449" t="s">
        <v>796</v>
      </c>
      <c r="CC5" s="1450"/>
      <c r="CD5" s="1450"/>
      <c r="CE5" s="1453"/>
      <c r="CF5" s="1449" t="s">
        <v>796</v>
      </c>
      <c r="CG5" s="1450"/>
      <c r="CH5" s="1450"/>
      <c r="CI5" s="1453"/>
      <c r="CJ5" s="1449" t="s">
        <v>796</v>
      </c>
      <c r="CK5" s="1450"/>
      <c r="CL5" s="1450"/>
      <c r="CM5" s="1453"/>
    </row>
    <row r="6" spans="1:16381" ht="16.2" customHeight="1" thickBot="1">
      <c r="A6" s="1436" t="s">
        <v>217</v>
      </c>
      <c r="B6" s="1444" t="s">
        <v>292</v>
      </c>
      <c r="C6" s="270" t="s">
        <v>187</v>
      </c>
      <c r="D6" s="1446" t="s">
        <v>194</v>
      </c>
      <c r="E6" s="1447"/>
      <c r="F6" s="1448"/>
      <c r="G6" s="1446" t="s">
        <v>189</v>
      </c>
      <c r="H6" s="1447"/>
      <c r="I6" s="1448"/>
      <c r="J6" s="1446" t="s">
        <v>192</v>
      </c>
      <c r="K6" s="1448"/>
      <c r="L6" s="453" t="s">
        <v>187</v>
      </c>
      <c r="M6" s="1467" t="s">
        <v>194</v>
      </c>
      <c r="N6" s="1468"/>
      <c r="O6" s="451" t="s">
        <v>189</v>
      </c>
      <c r="P6" s="456" t="s">
        <v>514</v>
      </c>
      <c r="Q6" s="455" t="s">
        <v>187</v>
      </c>
      <c r="R6" s="458" t="s">
        <v>194</v>
      </c>
      <c r="S6" s="458" t="s">
        <v>513</v>
      </c>
      <c r="T6" s="458" t="s">
        <v>517</v>
      </c>
      <c r="U6" s="459">
        <v>4</v>
      </c>
      <c r="W6" s="1428"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70"/>
      <c r="BI6" s="1451"/>
      <c r="BJ6" s="1452"/>
      <c r="BK6" s="1454"/>
      <c r="BL6" s="1452"/>
      <c r="BM6" s="1452"/>
      <c r="BN6" s="1454"/>
      <c r="BO6" s="1451"/>
      <c r="BP6" s="1452"/>
      <c r="BQ6" s="1452"/>
      <c r="BR6" s="1451"/>
      <c r="BS6" s="1452"/>
      <c r="BT6" s="1454"/>
      <c r="BU6" s="1451"/>
      <c r="BV6" s="1452"/>
      <c r="BW6" s="1454"/>
      <c r="BX6" s="1451"/>
      <c r="BY6" s="1452"/>
      <c r="BZ6" s="1454"/>
      <c r="CB6" s="1472"/>
      <c r="CC6" s="1473"/>
      <c r="CD6" s="1473"/>
      <c r="CE6" s="1474"/>
      <c r="CF6" s="1472"/>
      <c r="CG6" s="1473"/>
      <c r="CH6" s="1473"/>
      <c r="CI6" s="1474"/>
      <c r="CJ6" s="1472"/>
      <c r="CK6" s="1473"/>
      <c r="CL6" s="1473"/>
      <c r="CM6" s="1474"/>
    </row>
    <row r="7" spans="1:16381" ht="87" thickBot="1">
      <c r="A7" s="1437"/>
      <c r="B7" s="1445"/>
      <c r="C7" s="448" t="s">
        <v>233</v>
      </c>
      <c r="D7" s="449" t="s">
        <v>234</v>
      </c>
      <c r="E7" s="1440" t="s">
        <v>176</v>
      </c>
      <c r="F7" s="1441"/>
      <c r="G7" s="1439" t="s">
        <v>284</v>
      </c>
      <c r="H7" s="1440"/>
      <c r="I7" s="1441"/>
      <c r="J7" s="1442" t="s">
        <v>193</v>
      </c>
      <c r="K7" s="1443"/>
      <c r="L7" s="454" t="s">
        <v>233</v>
      </c>
      <c r="M7" s="452" t="s">
        <v>234</v>
      </c>
      <c r="N7" s="452" t="s">
        <v>176</v>
      </c>
      <c r="O7" s="452" t="s">
        <v>284</v>
      </c>
      <c r="P7" s="457" t="s">
        <v>193</v>
      </c>
      <c r="Q7" s="455" t="s">
        <v>233</v>
      </c>
      <c r="R7" s="458" t="s">
        <v>512</v>
      </c>
      <c r="S7" s="458" t="s">
        <v>38</v>
      </c>
      <c r="T7" s="458" t="s">
        <v>193</v>
      </c>
      <c r="U7" s="459" t="s">
        <v>627</v>
      </c>
      <c r="W7" s="1429"/>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70"/>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 thickBot="1">
      <c r="A8" s="1438"/>
      <c r="B8" s="271" t="s">
        <v>293</v>
      </c>
      <c r="C8" s="271" t="s">
        <v>188</v>
      </c>
      <c r="D8" s="272" t="s">
        <v>188</v>
      </c>
      <c r="E8" s="273" t="s">
        <v>188</v>
      </c>
      <c r="F8" s="274" t="s">
        <v>191</v>
      </c>
      <c r="G8" s="275" t="s">
        <v>190</v>
      </c>
      <c r="H8" s="273" t="s">
        <v>188</v>
      </c>
      <c r="I8" s="274" t="s">
        <v>191</v>
      </c>
      <c r="J8" s="853" t="s">
        <v>188</v>
      </c>
      <c r="K8" s="450" t="s">
        <v>191</v>
      </c>
      <c r="L8" s="1455" t="s">
        <v>515</v>
      </c>
      <c r="M8" s="1456"/>
      <c r="N8" s="1456"/>
      <c r="O8" s="1456"/>
      <c r="P8" s="1457"/>
      <c r="Q8" s="1461" t="s">
        <v>515</v>
      </c>
      <c r="R8" s="1462"/>
      <c r="S8" s="1462"/>
      <c r="T8" s="1462"/>
      <c r="U8" s="1463"/>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71"/>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5"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965.18873138104743</v>
      </c>
      <c r="Z29" s="465">
        <f t="shared" ref="Z29:Z60" si="82">S30</f>
        <v>304.9221239283998</v>
      </c>
      <c r="AA29" s="465">
        <f t="shared" ref="AA29:AA60" si="83">T30</f>
        <v>3821.6612855587077</v>
      </c>
      <c r="AB29" s="986">
        <f t="shared" si="22"/>
        <v>21925.78145926704</v>
      </c>
      <c r="AC29" s="1206" t="str">
        <f>IF(OR('Recycling - Case 1'!AC99="No",'Recycling - Case 1'!T139="No"), "No", "Yes")</f>
        <v>Yes</v>
      </c>
      <c r="AD29" s="948">
        <f t="shared" ref="AD29:AD60" si="84">Q64</f>
        <v>16834.009318398883</v>
      </c>
      <c r="AE29" s="465">
        <f t="shared" ref="AE29:AE60" si="85">R64</f>
        <v>965.18873138104743</v>
      </c>
      <c r="AF29" s="465">
        <f t="shared" ref="AF29:AF60" si="86">S64</f>
        <v>304.9221239283998</v>
      </c>
      <c r="AG29" s="465">
        <f t="shared" ref="AG29:AG60" si="87">T64</f>
        <v>3821.6612855587077</v>
      </c>
      <c r="AH29" s="986">
        <f t="shared" si="60"/>
        <v>21925.78145926704</v>
      </c>
      <c r="AI29" s="1206" t="str">
        <f>IF(OR('Recycling - Case 1'!AI10="No",'Recycling - Case 1'!Z139="No"), "No", "Yes")</f>
        <v>Yes</v>
      </c>
      <c r="AJ29" s="948">
        <f t="shared" ref="AJ29:AJ60" si="88">Q98</f>
        <v>16839.898969230198</v>
      </c>
      <c r="AK29" s="465">
        <f t="shared" ref="AK29:AK60" si="89">R98</f>
        <v>965.18873138104743</v>
      </c>
      <c r="AL29" s="465">
        <f t="shared" ref="AL29:AL60" si="90">S98</f>
        <v>307.81392004196488</v>
      </c>
      <c r="AM29" s="465">
        <f t="shared" ref="AM29:AM60" si="91">T98</f>
        <v>3922.0560748079342</v>
      </c>
      <c r="AN29" s="986">
        <f t="shared" ref="AN29:AN60" si="92">U98</f>
        <v>22034.957695461144</v>
      </c>
      <c r="AO29" s="1201" t="str">
        <f>IF(OR('Recycling - Case 2'!AC99="No",'Recycling - Case 2'!T139="No"), "No", "Yes")</f>
        <v>Yes</v>
      </c>
      <c r="AP29" s="948">
        <f t="shared" ref="AP29:AP60" si="93">Q132</f>
        <v>16839.898969230198</v>
      </c>
      <c r="AQ29" s="465">
        <f t="shared" ref="AQ29:AQ60" si="94">R132</f>
        <v>965.18873138104743</v>
      </c>
      <c r="AR29" s="465">
        <f t="shared" ref="AR29:AR60" si="95">S132</f>
        <v>307.81392004196488</v>
      </c>
      <c r="AS29" s="465">
        <f t="shared" ref="AS29:AS60" si="96">T132</f>
        <v>3922.0560748079342</v>
      </c>
      <c r="AT29" s="986">
        <f t="shared" si="37"/>
        <v>22034.957695461144</v>
      </c>
      <c r="AU29" s="1206" t="str">
        <f>IF(OR('Recycling - Case 2'!AC99="No",'Recycling - Case 2'!T179="No"), "No", "Yes")</f>
        <v>Yes</v>
      </c>
      <c r="AV29" s="948">
        <f t="shared" si="63"/>
        <v>16839.906548915631</v>
      </c>
      <c r="AW29" s="465">
        <f t="shared" si="64"/>
        <v>816.26125781571477</v>
      </c>
      <c r="AX29" s="465">
        <f t="shared" si="65"/>
        <v>307.81392004196488</v>
      </c>
      <c r="AY29" s="465">
        <f t="shared" si="66"/>
        <v>3922.0560748079342</v>
      </c>
      <c r="AZ29" s="986">
        <f t="shared" si="67"/>
        <v>21886.037801581242</v>
      </c>
      <c r="BA29" s="1206" t="str">
        <f>IF(OR('Recycling - Case 3'!AC99="No",'Recycling - Case 3'!T139="No"), "No", "Yes")</f>
        <v>Yes</v>
      </c>
      <c r="BB29" s="948">
        <f t="shared" ref="BB29:BB60" si="97">Q200</f>
        <v>16839.906548915631</v>
      </c>
      <c r="BC29" s="465">
        <f t="shared" ref="BC29:BC60" si="98">R200</f>
        <v>816.26125781571466</v>
      </c>
      <c r="BD29" s="465">
        <f t="shared" ref="BD29:BD60" si="99">S200</f>
        <v>307.81392004196488</v>
      </c>
      <c r="BE29" s="465">
        <f t="shared" ref="BE29:BE60" si="100">T200</f>
        <v>3922.0560748079342</v>
      </c>
      <c r="BF29" s="986">
        <f t="shared" si="47"/>
        <v>21886.037801581242</v>
      </c>
      <c r="BG29" s="1206" t="str">
        <f>IF(OR('Recycling - Case 3'!AC99="No",'Recycling - Case 3'!T179="No"), "No", "Yes")</f>
        <v>Yes</v>
      </c>
      <c r="BH29" s="535">
        <f t="shared" si="48"/>
        <v>2019</v>
      </c>
      <c r="BI29" s="465">
        <f>'Recycling - Case 1'!BV99</f>
        <v>111.91947767812519</v>
      </c>
      <c r="BJ29" s="100">
        <f>'Recycling - Case 1'!BW99</f>
        <v>0.36084474766685959</v>
      </c>
      <c r="BK29" s="986">
        <f>'Recycling - Case 1'!BX99</f>
        <v>53.169997747000799</v>
      </c>
      <c r="BL29" s="948">
        <f>'Recycling - Case 1'!BY99</f>
        <v>111.91947767812519</v>
      </c>
      <c r="BM29" s="518">
        <f>'Recycling - Case 1'!BZ99</f>
        <v>0.36084474766685959</v>
      </c>
      <c r="BN29" s="986">
        <f>'Recycling - Case 1'!CA99</f>
        <v>53.169997747000799</v>
      </c>
      <c r="BO29" s="465">
        <f>'Recycling - Case 2'!BV99</f>
        <v>113.56805229285898</v>
      </c>
      <c r="BP29" s="100">
        <f>'Recycling - Case 2'!BW99</f>
        <v>0.3763252339163653</v>
      </c>
      <c r="BQ29" s="986">
        <f>'Recycling - Case 2'!BX99</f>
        <v>53.169997747000799</v>
      </c>
      <c r="BR29" s="948">
        <f>'Recycling - Case 2'!BY99</f>
        <v>113.56805229285898</v>
      </c>
      <c r="BS29" s="100">
        <f>'Recycling - Case 2'!BZ99</f>
        <v>0.3763252339163653</v>
      </c>
      <c r="BT29" s="986">
        <f>'Recycling - Case 2'!CA99</f>
        <v>53.169997747000799</v>
      </c>
      <c r="BU29" s="465">
        <f>'Recycling - Case 3'!BV99</f>
        <v>113.56805229285898</v>
      </c>
      <c r="BV29" s="100">
        <f>'Recycling - Case 3'!BW99</f>
        <v>0.3763252339163653</v>
      </c>
      <c r="BW29" s="986">
        <f>'Recycling - Case 3'!BX99</f>
        <v>53.169997747000799</v>
      </c>
      <c r="BX29" s="948">
        <f>'Recycling - Case 3'!BY99</f>
        <v>113.56805229285898</v>
      </c>
      <c r="BY29" s="100">
        <f>'Recycling - Case 3'!BZ99</f>
        <v>0.3763252339163653</v>
      </c>
      <c r="BZ29" s="986">
        <f>'Recycling - Case 3'!CA99</f>
        <v>53.169997747000799</v>
      </c>
      <c r="CA29" s="535">
        <v>2019</v>
      </c>
      <c r="CB29" s="579">
        <f>'Recycling - Case 1'!CB99</f>
        <v>4.7766344222348933E-2</v>
      </c>
      <c r="CC29" s="100">
        <f>'Recycling - Case 1'!CC99</f>
        <v>0.17089535183273918</v>
      </c>
      <c r="CD29" s="100">
        <f>'Recycling - Case 1'!CD99</f>
        <v>4.7766344222348933E-2</v>
      </c>
      <c r="CE29" s="471">
        <f>'Recycling - Case 1'!CE99</f>
        <v>0.17089535183273918</v>
      </c>
      <c r="CF29" s="579">
        <f>'Recycling - Case 2'!CB99</f>
        <v>4.2261345922522509E-2</v>
      </c>
      <c r="CG29" s="100">
        <f>'Recycling - Case 2'!CC99</f>
        <v>0.15670225364825097</v>
      </c>
      <c r="CH29" s="100">
        <f>'Recycling - Case 2'!CD99</f>
        <v>4.2261345922522509E-2</v>
      </c>
      <c r="CI29" s="471">
        <f>'Recycling - Case 2'!CE99</f>
        <v>0.15670225364825097</v>
      </c>
      <c r="CJ29" s="579">
        <f>'Recycling - Case 3'!CB99</f>
        <v>4.2261345922522509E-2</v>
      </c>
      <c r="CK29" s="100">
        <f>'Recycling - Case 3'!CC99</f>
        <v>0.15670225364825097</v>
      </c>
      <c r="CL29" s="100">
        <f>'Recycling - Case 3'!CD99</f>
        <v>4.2261345922522509E-2</v>
      </c>
      <c r="CM29" s="471">
        <f>'Recycling - Case 3'!CE99</f>
        <v>0.15670225364825097</v>
      </c>
    </row>
    <row r="30" spans="1:91">
      <c r="A30">
        <f>'Input data'!A119</f>
        <v>2019</v>
      </c>
      <c r="C30" s="116">
        <f>'4A SWD Case 1'!BG89</f>
        <v>801.61949135232783</v>
      </c>
      <c r="D30" s="3">
        <f>'4B Biological treatment '!T83</f>
        <v>0.42961291719026418</v>
      </c>
      <c r="E30" s="152">
        <f>'4B Biological treatment '!U83</f>
        <v>24.145627780809392</v>
      </c>
      <c r="F30" s="152">
        <f>'4B Biological treatment '!W83</f>
        <v>1.4487376668485634</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9.0218712609955478</v>
      </c>
      <c r="N30" s="465">
        <f t="shared" si="71"/>
        <v>956.16686012005187</v>
      </c>
      <c r="O30" s="464">
        <f t="shared" si="72"/>
        <v>304.9221239283998</v>
      </c>
      <c r="P30" s="465">
        <f t="shared" si="73"/>
        <v>3821.6612855587077</v>
      </c>
      <c r="Q30" s="465">
        <f t="shared" si="74"/>
        <v>16834.009318398883</v>
      </c>
      <c r="R30" s="467">
        <f t="shared" si="75"/>
        <v>965.18873138104743</v>
      </c>
      <c r="S30" s="464">
        <f t="shared" si="76"/>
        <v>304.9221239283998</v>
      </c>
      <c r="T30" s="465">
        <f t="shared" si="77"/>
        <v>3821.6612855587077</v>
      </c>
      <c r="U30" s="465">
        <f t="shared" si="78"/>
        <v>21925.78145926704</v>
      </c>
      <c r="V30" s="3"/>
      <c r="W30" s="535">
        <f t="shared" si="79"/>
        <v>2020</v>
      </c>
      <c r="X30" s="948">
        <f t="shared" si="80"/>
        <v>16401.915233127645</v>
      </c>
      <c r="Y30" s="465">
        <f t="shared" si="81"/>
        <v>996.2159431384564</v>
      </c>
      <c r="Z30" s="465">
        <f t="shared" si="82"/>
        <v>296.95916503445704</v>
      </c>
      <c r="AA30" s="465">
        <f t="shared" si="83"/>
        <v>3916.619774427455</v>
      </c>
      <c r="AB30" s="986">
        <f t="shared" si="22"/>
        <v>21611.710115728012</v>
      </c>
      <c r="AC30" s="1206" t="str">
        <f>IF(OR('Recycling - Case 1'!AC100="No",'Recycling - Case 1'!T140="No"), "No", "Yes")</f>
        <v>Yes</v>
      </c>
      <c r="AD30" s="948">
        <f t="shared" si="84"/>
        <v>16401.915233127645</v>
      </c>
      <c r="AE30" s="465">
        <f t="shared" si="85"/>
        <v>996.2159431384564</v>
      </c>
      <c r="AF30" s="465">
        <f t="shared" si="86"/>
        <v>296.95916503445704</v>
      </c>
      <c r="AG30" s="465">
        <f t="shared" si="87"/>
        <v>3916.619774427455</v>
      </c>
      <c r="AH30" s="986">
        <f t="shared" si="60"/>
        <v>21611.710115728012</v>
      </c>
      <c r="AI30" s="1206" t="str">
        <f>IF(OR('Recycling - Case 1'!AI11="No",'Recycling - Case 1'!Z140="No"), "No", "Yes")</f>
        <v>Yes</v>
      </c>
      <c r="AJ30" s="948">
        <f t="shared" si="88"/>
        <v>16424.697746273669</v>
      </c>
      <c r="AK30" s="465">
        <f t="shared" si="89"/>
        <v>1051.6756714552828</v>
      </c>
      <c r="AL30" s="465">
        <f t="shared" si="90"/>
        <v>299.52410113774715</v>
      </c>
      <c r="AM30" s="465">
        <f t="shared" si="91"/>
        <v>4069.6472808319609</v>
      </c>
      <c r="AN30" s="986">
        <f t="shared" si="92"/>
        <v>21845.544799698659</v>
      </c>
      <c r="AO30" s="1201" t="str">
        <f>IF(OR('Recycling - Case 2'!AC100="No",'Recycling - Case 2'!T140="No"), "No", "Yes")</f>
        <v>Yes</v>
      </c>
      <c r="AP30" s="948">
        <f t="shared" si="93"/>
        <v>16424.697746273669</v>
      </c>
      <c r="AQ30" s="465">
        <f t="shared" si="94"/>
        <v>1051.6756714552828</v>
      </c>
      <c r="AR30" s="465">
        <f t="shared" si="95"/>
        <v>299.52410113774715</v>
      </c>
      <c r="AS30" s="465">
        <f t="shared" si="96"/>
        <v>4069.6472808319609</v>
      </c>
      <c r="AT30" s="986">
        <f t="shared" si="37"/>
        <v>21845.544799698659</v>
      </c>
      <c r="AU30" s="1206" t="str">
        <f>IF(OR('Recycling - Case 2'!AC100="No",'Recycling - Case 2'!T180="No"), "No", "Yes")</f>
        <v>Yes</v>
      </c>
      <c r="AV30" s="948">
        <f t="shared" si="63"/>
        <v>16424.720289075343</v>
      </c>
      <c r="AW30" s="465">
        <f t="shared" si="64"/>
        <v>806.97421035921559</v>
      </c>
      <c r="AX30" s="465">
        <f t="shared" si="65"/>
        <v>299.52410113774715</v>
      </c>
      <c r="AY30" s="465">
        <f t="shared" si="66"/>
        <v>4069.6472808319609</v>
      </c>
      <c r="AZ30" s="986">
        <f t="shared" si="67"/>
        <v>21600.865881404265</v>
      </c>
      <c r="BA30" s="1206" t="str">
        <f>IF(OR('Recycling - Case 3'!AC100="No",'Recycling - Case 3'!T140="No"), "No", "Yes")</f>
        <v>Yes</v>
      </c>
      <c r="BB30" s="948">
        <f t="shared" si="97"/>
        <v>16424.720289075343</v>
      </c>
      <c r="BC30" s="465">
        <f t="shared" si="98"/>
        <v>806.97421035921548</v>
      </c>
      <c r="BD30" s="465">
        <f t="shared" si="99"/>
        <v>299.52410113774715</v>
      </c>
      <c r="BE30" s="465">
        <f t="shared" si="100"/>
        <v>4069.6472808319609</v>
      </c>
      <c r="BF30" s="986">
        <f t="shared" si="47"/>
        <v>21600.865881404265</v>
      </c>
      <c r="BG30" s="1206" t="str">
        <f>IF(OR('Recycling - Case 3'!AC100="No",'Recycling - Case 3'!T180="No"), "No", "Yes")</f>
        <v>Yes</v>
      </c>
      <c r="BH30" s="535">
        <f t="shared" si="48"/>
        <v>2020</v>
      </c>
      <c r="BI30" s="465">
        <f>'Recycling - Case 1'!BV100</f>
        <v>107.58918809338572</v>
      </c>
      <c r="BJ30" s="100">
        <f>'Recycling - Case 1'!BW100</f>
        <v>0.36964202296637522</v>
      </c>
      <c r="BK30" s="986">
        <f>'Recycling - Case 1'!BX100</f>
        <v>50.963260465782056</v>
      </c>
      <c r="BL30" s="948">
        <f>'Recycling - Case 1'!BY100</f>
        <v>107.58918809338572</v>
      </c>
      <c r="BM30" s="518">
        <f>'Recycling - Case 1'!BZ100</f>
        <v>0.36964202296637522</v>
      </c>
      <c r="BN30" s="986">
        <f>'Recycling - Case 1'!CA100</f>
        <v>50.963260465782056</v>
      </c>
      <c r="BO30" s="465">
        <f>'Recycling - Case 2'!BV100</f>
        <v>107.95239924758383</v>
      </c>
      <c r="BP30" s="100">
        <f>'Recycling - Case 2'!BW100</f>
        <v>0.40285876264672721</v>
      </c>
      <c r="BQ30" s="986">
        <f>'Recycling - Case 2'!BX100</f>
        <v>50.963260465782056</v>
      </c>
      <c r="BR30" s="948">
        <f>'Recycling - Case 2'!BY100</f>
        <v>107.95239924758383</v>
      </c>
      <c r="BS30" s="100">
        <f>'Recycling - Case 2'!BZ100</f>
        <v>0.40285876264672721</v>
      </c>
      <c r="BT30" s="986">
        <f>'Recycling - Case 2'!CA100</f>
        <v>50.963260465782056</v>
      </c>
      <c r="BU30" s="465">
        <f>'Recycling - Case 3'!BV100</f>
        <v>107.95239924758383</v>
      </c>
      <c r="BV30" s="100">
        <f>'Recycling - Case 3'!BW100</f>
        <v>0.40285876264672721</v>
      </c>
      <c r="BW30" s="986">
        <f>'Recycling - Case 3'!BX100</f>
        <v>50.963260465782056</v>
      </c>
      <c r="BX30" s="948">
        <f>'Recycling - Case 3'!BY100</f>
        <v>107.95239924758383</v>
      </c>
      <c r="BY30" s="100">
        <f>'Recycling - Case 3'!BZ100</f>
        <v>0.40285876264672721</v>
      </c>
      <c r="BZ30" s="986">
        <f>'Recycling - Case 3'!CA100</f>
        <v>50.963260465782056</v>
      </c>
      <c r="CA30" s="535">
        <v>2020</v>
      </c>
      <c r="CB30" s="579">
        <f>'Recycling - Case 1'!CB100</f>
        <v>7.0040644951311681E-2</v>
      </c>
      <c r="CC30" s="100">
        <f>'Recycling - Case 1'!CC100</f>
        <v>0.17026577692957634</v>
      </c>
      <c r="CD30" s="100">
        <f>'Recycling - Case 1'!CD100</f>
        <v>7.0040644951311681E-2</v>
      </c>
      <c r="CE30" s="471">
        <f>'Recycling - Case 1'!CE100</f>
        <v>0.17026577692957634</v>
      </c>
      <c r="CF30" s="579">
        <f>'Recycling - Case 2'!CB100</f>
        <v>6.3097402659273327E-2</v>
      </c>
      <c r="CG30" s="100">
        <f>'Recycling - Case 2'!CC100</f>
        <v>0.1684079773439997</v>
      </c>
      <c r="CH30" s="100">
        <f>'Recycling - Case 2'!CD100</f>
        <v>6.3097402659273327E-2</v>
      </c>
      <c r="CI30" s="471">
        <f>'Recycling - Case 2'!CE100</f>
        <v>0.1684079773439997</v>
      </c>
      <c r="CJ30" s="579">
        <f>'Recycling - Case 3'!CB100</f>
        <v>6.3097402659273327E-2</v>
      </c>
      <c r="CK30" s="100">
        <f>'Recycling - Case 3'!CC100</f>
        <v>0.1684079773439997</v>
      </c>
      <c r="CL30" s="100">
        <f>'Recycling - Case 3'!CD100</f>
        <v>6.3097402659273327E-2</v>
      </c>
      <c r="CM30" s="471">
        <f>'Recycling - Case 3'!CE100</f>
        <v>0.1684079773439997</v>
      </c>
    </row>
    <row r="31" spans="1:91">
      <c r="A31">
        <f>'Input data'!A120</f>
        <v>2020</v>
      </c>
      <c r="C31" s="116">
        <f>'4A SWD Case 1'!BG90</f>
        <v>781.04358252988789</v>
      </c>
      <c r="D31" s="3">
        <f>'4B Biological treatment '!T84</f>
        <v>0.4767284710910733</v>
      </c>
      <c r="E31" s="152">
        <f>'4B Biological treatment '!U84</f>
        <v>24.904157708220801</v>
      </c>
      <c r="F31" s="152">
        <f>'4B Biological treatment '!W84</f>
        <v>1.4942494624932481</v>
      </c>
      <c r="G31" s="688">
        <f>'4C2 Open-burning '!R91</f>
        <v>31.199856234261556</v>
      </c>
      <c r="H31" s="688">
        <f>'4C2 Open-burning '!Z91</f>
        <v>10.497796427605877</v>
      </c>
      <c r="I31" s="688">
        <f>'4C2 Open-burning '!AH91</f>
        <v>0.14614704458216801</v>
      </c>
      <c r="J31" s="93">
        <f>'4D Wastewater treatment and dis'!AV128</f>
        <v>142.36131561162929</v>
      </c>
      <c r="K31" s="3">
        <f>'4D Wastewater treatment and dis'!AW128</f>
        <v>2.9904262793007734</v>
      </c>
      <c r="L31" s="465">
        <f t="shared" si="69"/>
        <v>16401.915233127645</v>
      </c>
      <c r="M31" s="688">
        <f t="shared" si="70"/>
        <v>10.011297892912539</v>
      </c>
      <c r="N31" s="465">
        <f t="shared" si="71"/>
        <v>986.20464524554382</v>
      </c>
      <c r="O31" s="464">
        <f t="shared" si="72"/>
        <v>296.95916503445704</v>
      </c>
      <c r="P31" s="465">
        <f t="shared" si="73"/>
        <v>3916.619774427455</v>
      </c>
      <c r="Q31" s="465">
        <f t="shared" si="74"/>
        <v>16401.915233127645</v>
      </c>
      <c r="R31" s="467">
        <f t="shared" si="75"/>
        <v>996.2159431384564</v>
      </c>
      <c r="S31" s="464">
        <f t="shared" si="76"/>
        <v>296.95916503445704</v>
      </c>
      <c r="T31" s="465">
        <f t="shared" si="77"/>
        <v>3916.619774427455</v>
      </c>
      <c r="U31" s="465">
        <f t="shared" si="78"/>
        <v>21611.710115728012</v>
      </c>
      <c r="V31" s="3"/>
      <c r="W31" s="535">
        <f t="shared" si="79"/>
        <v>2021</v>
      </c>
      <c r="X31" s="948">
        <f t="shared" si="80"/>
        <v>15967.266104287712</v>
      </c>
      <c r="Y31" s="465">
        <f t="shared" si="81"/>
        <v>1055.2091780138935</v>
      </c>
      <c r="Z31" s="465">
        <f t="shared" si="82"/>
        <v>289.30826928918913</v>
      </c>
      <c r="AA31" s="465">
        <f t="shared" si="83"/>
        <v>3995.2541307434112</v>
      </c>
      <c r="AB31" s="986">
        <f t="shared" si="22"/>
        <v>21307.037682334205</v>
      </c>
      <c r="AC31" s="1206" t="str">
        <f>IF(OR('Recycling - Case 1'!AC101="No",'Recycling - Case 1'!T141="No"), "No", "Yes")</f>
        <v>Yes</v>
      </c>
      <c r="AD31" s="948">
        <f t="shared" si="84"/>
        <v>15967.266104287712</v>
      </c>
      <c r="AE31" s="465">
        <f t="shared" si="85"/>
        <v>1055.2091780138935</v>
      </c>
      <c r="AF31" s="465">
        <f t="shared" si="86"/>
        <v>289.30826928918913</v>
      </c>
      <c r="AG31" s="465">
        <f t="shared" si="87"/>
        <v>3995.2541307434112</v>
      </c>
      <c r="AH31" s="986">
        <f t="shared" si="60"/>
        <v>21307.037682334205</v>
      </c>
      <c r="AI31" s="1206" t="str">
        <f>IF(OR('Recycling - Case 1'!AI12="No",'Recycling - Case 1'!Z141="No"), "No", "Yes")</f>
        <v>Yes</v>
      </c>
      <c r="AJ31" s="948">
        <f t="shared" si="88"/>
        <v>15982.545292411505</v>
      </c>
      <c r="AK31" s="465">
        <f t="shared" si="89"/>
        <v>1275.3299251108208</v>
      </c>
      <c r="AL31" s="465">
        <f t="shared" si="90"/>
        <v>275.36438549102087</v>
      </c>
      <c r="AM31" s="465">
        <f t="shared" si="91"/>
        <v>4201.6401192926323</v>
      </c>
      <c r="AN31" s="986">
        <f t="shared" si="92"/>
        <v>21734.879722305981</v>
      </c>
      <c r="AO31" s="1201" t="str">
        <f>IF(OR('Recycling - Case 2'!AC101="No",'Recycling - Case 2'!T141="No"), "No", "Yes")</f>
        <v>Yes</v>
      </c>
      <c r="AP31" s="948">
        <f t="shared" si="93"/>
        <v>15982.545292411505</v>
      </c>
      <c r="AQ31" s="465">
        <f t="shared" si="94"/>
        <v>1275.3299251108208</v>
      </c>
      <c r="AR31" s="465">
        <f t="shared" si="95"/>
        <v>275.36438549102087</v>
      </c>
      <c r="AS31" s="465">
        <f t="shared" si="96"/>
        <v>4201.6401192926323</v>
      </c>
      <c r="AT31" s="986">
        <f t="shared" si="37"/>
        <v>21734.879722305981</v>
      </c>
      <c r="AU31" s="1206" t="str">
        <f>IF(OR('Recycling - Case 2'!AC101="No",'Recycling - Case 2'!T181="No"), "No", "Yes")</f>
        <v>Yes</v>
      </c>
      <c r="AV31" s="948">
        <f t="shared" si="63"/>
        <v>15982.590002881327</v>
      </c>
      <c r="AW31" s="465">
        <f t="shared" si="64"/>
        <v>877.28760323328174</v>
      </c>
      <c r="AX31" s="465">
        <f t="shared" si="65"/>
        <v>275.36438549102087</v>
      </c>
      <c r="AY31" s="465">
        <f t="shared" si="66"/>
        <v>4201.6401192926323</v>
      </c>
      <c r="AZ31" s="986">
        <f t="shared" si="67"/>
        <v>21336.882110898263</v>
      </c>
      <c r="BA31" s="1206" t="str">
        <f>IF(OR('Recycling - Case 3'!AC101="No",'Recycling - Case 3'!T141="No"), "No", "Yes")</f>
        <v>Yes</v>
      </c>
      <c r="BB31" s="948">
        <f t="shared" si="97"/>
        <v>15982.590002881327</v>
      </c>
      <c r="BC31" s="465">
        <f t="shared" si="98"/>
        <v>877.28760323328163</v>
      </c>
      <c r="BD31" s="465">
        <f t="shared" si="99"/>
        <v>275.36438549102087</v>
      </c>
      <c r="BE31" s="465">
        <f t="shared" si="100"/>
        <v>4201.6401192926323</v>
      </c>
      <c r="BF31" s="986">
        <f t="shared" si="47"/>
        <v>21336.882110898263</v>
      </c>
      <c r="BG31" s="1206" t="str">
        <f>IF(OR('Recycling - Case 3'!AC101="No",'Recycling - Case 3'!T181="No"), "No", "Yes")</f>
        <v>Yes</v>
      </c>
      <c r="BH31" s="535">
        <f t="shared" si="48"/>
        <v>2021</v>
      </c>
      <c r="BI31" s="465">
        <f>'Recycling - Case 1'!BV101</f>
        <v>105.46875617666294</v>
      </c>
      <c r="BJ31" s="100">
        <f>'Recycling - Case 1'!BW101</f>
        <v>0.3903565592902547</v>
      </c>
      <c r="BK31" s="986">
        <f>'Recycling - Case 1'!BX101</f>
        <v>50.546075397081104</v>
      </c>
      <c r="BL31" s="948">
        <f>'Recycling - Case 1'!BY101</f>
        <v>105.46875617666294</v>
      </c>
      <c r="BM31" s="518">
        <f>'Recycling - Case 1'!BZ101</f>
        <v>0.3903565592902547</v>
      </c>
      <c r="BN31" s="986">
        <f>'Recycling - Case 1'!CA101</f>
        <v>50.546075397081104</v>
      </c>
      <c r="BO31" s="465">
        <f>'Recycling - Case 2'!BV101</f>
        <v>98.620788883201101</v>
      </c>
      <c r="BP31" s="100">
        <f>'Recycling - Case 2'!BW101</f>
        <v>0.47547133342759096</v>
      </c>
      <c r="BQ31" s="986">
        <f>'Recycling - Case 2'!BX101</f>
        <v>50.546075397081104</v>
      </c>
      <c r="BR31" s="948">
        <f>'Recycling - Case 2'!BY101</f>
        <v>98.620788883201101</v>
      </c>
      <c r="BS31" s="100">
        <f>'Recycling - Case 2'!BZ101</f>
        <v>0.47547133342759096</v>
      </c>
      <c r="BT31" s="986">
        <f>'Recycling - Case 2'!CA101</f>
        <v>50.546075397081104</v>
      </c>
      <c r="BU31" s="465">
        <f>'Recycling - Case 3'!BV101</f>
        <v>98.620788883201101</v>
      </c>
      <c r="BV31" s="100">
        <f>'Recycling - Case 3'!BW101</f>
        <v>0.47547133342759096</v>
      </c>
      <c r="BW31" s="986">
        <f>'Recycling - Case 3'!BX101</f>
        <v>50.546075397081104</v>
      </c>
      <c r="BX31" s="948">
        <f>'Recycling - Case 3'!BY101</f>
        <v>98.620788883201101</v>
      </c>
      <c r="BY31" s="100">
        <f>'Recycling - Case 3'!BZ101</f>
        <v>0.47547133342759096</v>
      </c>
      <c r="BZ31" s="986">
        <f>'Recycling - Case 3'!CA101</f>
        <v>50.546075397081104</v>
      </c>
      <c r="CA31" s="535">
        <v>2021</v>
      </c>
      <c r="CB31" s="579">
        <f>'Recycling - Case 1'!CB101</f>
        <v>8.7685876347071812E-2</v>
      </c>
      <c r="CC31" s="100">
        <f>'Recycling - Case 1'!CC101</f>
        <v>0.19830592701672844</v>
      </c>
      <c r="CD31" s="100">
        <f>'Recycling - Case 1'!CD101</f>
        <v>8.7685876347071812E-2</v>
      </c>
      <c r="CE31" s="471">
        <f>'Recycling - Case 1'!CE101</f>
        <v>0.19830592701672844</v>
      </c>
      <c r="CF31" s="579">
        <f>'Recycling - Case 2'!CB101</f>
        <v>9.726841017376453E-2</v>
      </c>
      <c r="CG31" s="100">
        <f>'Recycling - Case 2'!CC101</f>
        <v>0.2626773687912114</v>
      </c>
      <c r="CH31" s="100">
        <f>'Recycling - Case 2'!CD101</f>
        <v>9.726841017376453E-2</v>
      </c>
      <c r="CI31" s="471">
        <f>'Recycling - Case 2'!CE101</f>
        <v>0.2626773687912114</v>
      </c>
      <c r="CJ31" s="579">
        <f>'Recycling - Case 3'!CB101</f>
        <v>9.726841017376453E-2</v>
      </c>
      <c r="CK31" s="100">
        <f>'Recycling - Case 3'!CC101</f>
        <v>0.2626773687912114</v>
      </c>
      <c r="CL31" s="100">
        <f>'Recycling - Case 3'!CD101</f>
        <v>9.726841017376453E-2</v>
      </c>
      <c r="CM31" s="471">
        <f>'Recycling - Case 3'!CE101</f>
        <v>0.2626773687912114</v>
      </c>
    </row>
    <row r="32" spans="1:91">
      <c r="A32">
        <f>'Input data'!A121</f>
        <v>2021</v>
      </c>
      <c r="C32" s="116">
        <f>'4A SWD Case 1'!BG91</f>
        <v>760.34600496608152</v>
      </c>
      <c r="D32" s="3">
        <f>'4B Biological treatment '!T85</f>
        <v>0.54468490413106452</v>
      </c>
      <c r="E32" s="152">
        <f>'4B Biological treatment '!U85</f>
        <v>26.357848359271241</v>
      </c>
      <c r="F32" s="152">
        <f>'4B Biological treatment '!W85</f>
        <v>1.5814709015562745</v>
      </c>
      <c r="G32" s="688">
        <f>'4C2 Open-burning '!R92</f>
        <v>30.396018954856537</v>
      </c>
      <c r="H32" s="688">
        <f>'4C2 Open-burning '!Z92</f>
        <v>10.227329792863893</v>
      </c>
      <c r="I32" s="688">
        <f>'4C2 Open-burning '!AH92</f>
        <v>0.14238169252964775</v>
      </c>
      <c r="J32" s="93">
        <f>'4D Wastewater treatment and dis'!AV129</f>
        <v>145.59752270040624</v>
      </c>
      <c r="K32" s="3">
        <f>'4D Wastewater treatment and dis'!AW129</f>
        <v>3.0248585614028385</v>
      </c>
      <c r="L32" s="465">
        <f t="shared" si="69"/>
        <v>15967.266104287712</v>
      </c>
      <c r="M32" s="688">
        <f t="shared" si="70"/>
        <v>11.438382986752355</v>
      </c>
      <c r="N32" s="465">
        <f t="shared" si="71"/>
        <v>1043.770795027141</v>
      </c>
      <c r="O32" s="464">
        <f t="shared" si="72"/>
        <v>289.30826928918913</v>
      </c>
      <c r="P32" s="465">
        <f t="shared" si="73"/>
        <v>3995.2541307434112</v>
      </c>
      <c r="Q32" s="465">
        <f t="shared" si="74"/>
        <v>15967.266104287712</v>
      </c>
      <c r="R32" s="467">
        <f t="shared" si="75"/>
        <v>1055.2091780138935</v>
      </c>
      <c r="S32" s="464">
        <f t="shared" si="76"/>
        <v>289.30826928918913</v>
      </c>
      <c r="T32" s="465">
        <f t="shared" si="77"/>
        <v>3995.2541307434112</v>
      </c>
      <c r="U32" s="465">
        <f t="shared" si="78"/>
        <v>21307.037682334205</v>
      </c>
      <c r="V32" s="3"/>
      <c r="W32" s="535">
        <f t="shared" si="79"/>
        <v>2022</v>
      </c>
      <c r="X32" s="948">
        <f t="shared" si="80"/>
        <v>15523.048824568217</v>
      </c>
      <c r="Y32" s="465">
        <f t="shared" si="81"/>
        <v>1110.2046517234085</v>
      </c>
      <c r="Z32" s="465">
        <f t="shared" si="82"/>
        <v>281.88387608267908</v>
      </c>
      <c r="AA32" s="465">
        <f t="shared" si="83"/>
        <v>4075.1800556596418</v>
      </c>
      <c r="AB32" s="986">
        <f t="shared" si="22"/>
        <v>20990.317408033949</v>
      </c>
      <c r="AC32" s="1206" t="str">
        <f>IF(OR('Recycling - Case 1'!AC102="No",'Recycling - Case 1'!T142="No"), "No", "Yes")</f>
        <v>Yes</v>
      </c>
      <c r="AD32" s="948">
        <f t="shared" si="84"/>
        <v>15523.048824568217</v>
      </c>
      <c r="AE32" s="465">
        <f t="shared" si="85"/>
        <v>1110.2046517234085</v>
      </c>
      <c r="AF32" s="465">
        <f t="shared" si="86"/>
        <v>281.88387608267908</v>
      </c>
      <c r="AG32" s="465">
        <f t="shared" si="87"/>
        <v>4075.1800556596418</v>
      </c>
      <c r="AH32" s="986">
        <f t="shared" si="60"/>
        <v>20990.317408033949</v>
      </c>
      <c r="AI32" s="1206" t="str">
        <f>IF(OR('Recycling - Case 1'!AI13="No",'Recycling - Case 1'!Z142="No"), "No", "Yes")</f>
        <v>Yes</v>
      </c>
      <c r="AJ32" s="948">
        <f t="shared" si="88"/>
        <v>15440.121907106282</v>
      </c>
      <c r="AK32" s="465">
        <f t="shared" si="89"/>
        <v>1383.2078778815937</v>
      </c>
      <c r="AL32" s="465">
        <f t="shared" si="90"/>
        <v>229.17353377197622</v>
      </c>
      <c r="AM32" s="465">
        <f t="shared" si="91"/>
        <v>4336.1329960221574</v>
      </c>
      <c r="AN32" s="986">
        <f t="shared" si="92"/>
        <v>21388.636314782008</v>
      </c>
      <c r="AO32" s="1201" t="str">
        <f>IF(OR('Recycling - Case 2'!AC102="No",'Recycling - Case 2'!T142="No"), "No", "Yes")</f>
        <v>No</v>
      </c>
      <c r="AP32" s="948">
        <f t="shared" si="93"/>
        <v>15440.121907106282</v>
      </c>
      <c r="AQ32" s="465">
        <f t="shared" si="94"/>
        <v>1383.2078778815937</v>
      </c>
      <c r="AR32" s="465">
        <f t="shared" si="95"/>
        <v>229.17353377197622</v>
      </c>
      <c r="AS32" s="465">
        <f t="shared" si="96"/>
        <v>4336.1329960221574</v>
      </c>
      <c r="AT32" s="986">
        <f t="shared" si="37"/>
        <v>21388.636314782008</v>
      </c>
      <c r="AU32" s="1206" t="str">
        <f>IF(OR('Recycling - Case 2'!AC102="No",'Recycling - Case 2'!T182="No"), "No", "Yes")</f>
        <v>No</v>
      </c>
      <c r="AV32" s="948">
        <f t="shared" si="63"/>
        <v>15440.195681596713</v>
      </c>
      <c r="AW32" s="465">
        <f t="shared" si="64"/>
        <v>840.0513734222659</v>
      </c>
      <c r="AX32" s="465">
        <f t="shared" si="65"/>
        <v>229.17353377197622</v>
      </c>
      <c r="AY32" s="465">
        <f t="shared" si="66"/>
        <v>4336.1329960221574</v>
      </c>
      <c r="AZ32" s="986">
        <f t="shared" si="67"/>
        <v>20845.553584813111</v>
      </c>
      <c r="BA32" s="1206" t="str">
        <f>IF(OR('Recycling - Case 3'!AC102="No",'Recycling - Case 3'!T142="No"), "No", "Yes")</f>
        <v>No</v>
      </c>
      <c r="BB32" s="948">
        <f t="shared" si="97"/>
        <v>15440.195681596713</v>
      </c>
      <c r="BC32" s="465">
        <f t="shared" si="98"/>
        <v>840.0513734222659</v>
      </c>
      <c r="BD32" s="465">
        <f t="shared" si="99"/>
        <v>229.17353377197622</v>
      </c>
      <c r="BE32" s="465">
        <f t="shared" si="100"/>
        <v>4336.1329960221574</v>
      </c>
      <c r="BF32" s="986">
        <f t="shared" si="47"/>
        <v>20845.553584813111</v>
      </c>
      <c r="BG32" s="1206" t="str">
        <f>IF(OR('Recycling - Case 3'!AC102="No",'Recycling - Case 3'!T182="No"), "No", "Yes")</f>
        <v>No</v>
      </c>
      <c r="BH32" s="535">
        <f t="shared" si="48"/>
        <v>2022</v>
      </c>
      <c r="BI32" s="465">
        <f>'Recycling - Case 1'!BV102</f>
        <v>103.38133365561069</v>
      </c>
      <c r="BJ32" s="100">
        <f>'Recycling - Case 1'!BW102</f>
        <v>0.41034030178003567</v>
      </c>
      <c r="BK32" s="986">
        <f>'Recycling - Case 1'!BX102</f>
        <v>50.359792847133129</v>
      </c>
      <c r="BL32" s="948">
        <f>'Recycling - Case 1'!BY102</f>
        <v>103.38133365561069</v>
      </c>
      <c r="BM32" s="100">
        <f>'Recycling - Case 1'!BZ102</f>
        <v>0.41034030178003567</v>
      </c>
      <c r="BN32" s="986">
        <f>'Recycling - Case 1'!CA102</f>
        <v>50.359792847133129</v>
      </c>
      <c r="BO32" s="465">
        <f>'Recycling - Case 2'!BV102</f>
        <v>95.433860414271194</v>
      </c>
      <c r="BP32" s="100">
        <f>'Recycling - Case 2'!BW102</f>
        <v>0.51509093280146467</v>
      </c>
      <c r="BQ32" s="986">
        <f>'Recycling - Case 2'!BX102</f>
        <v>50.359792847133129</v>
      </c>
      <c r="BR32" s="948">
        <f>'Recycling - Case 2'!BY102</f>
        <v>95.433860414271194</v>
      </c>
      <c r="BS32" s="100">
        <f>'Recycling - Case 2'!BZ102</f>
        <v>0.51509093280146467</v>
      </c>
      <c r="BT32" s="986">
        <f>'Recycling - Case 2'!CA102</f>
        <v>50.359792847133129</v>
      </c>
      <c r="BU32" s="465">
        <f>'Recycling - Case 3'!BV102</f>
        <v>95.433860414271194</v>
      </c>
      <c r="BV32" s="100">
        <f>'Recycling - Case 3'!BW102</f>
        <v>0.51509093280146467</v>
      </c>
      <c r="BW32" s="986">
        <f>'Recycling - Case 3'!BX102</f>
        <v>50.359792847133129</v>
      </c>
      <c r="BX32" s="948">
        <f>'Recycling - Case 3'!BY102</f>
        <v>95.433860414271194</v>
      </c>
      <c r="BY32" s="100">
        <f>'Recycling - Case 3'!BZ102</f>
        <v>0.51509093280146467</v>
      </c>
      <c r="BZ32" s="986">
        <f>'Recycling - Case 3'!CA102</f>
        <v>50.359792847133129</v>
      </c>
      <c r="CA32" s="535">
        <v>2022</v>
      </c>
      <c r="CB32" s="579">
        <f>'Recycling - Case 1'!CB102</f>
        <v>0.10394016738010314</v>
      </c>
      <c r="CC32" s="100">
        <f>'Recycling - Case 1'!CC102</f>
        <v>0.22381783042111114</v>
      </c>
      <c r="CD32" s="100">
        <f>'Recycling - Case 1'!CD102</f>
        <v>0.10394016738010314</v>
      </c>
      <c r="CE32" s="471">
        <f>'Recycling - Case 1'!CE102</f>
        <v>0.22381783042111114</v>
      </c>
      <c r="CF32" s="579">
        <f>'Recycling - Case 2'!CB102</f>
        <v>0.15764324460297707</v>
      </c>
      <c r="CG32" s="100">
        <f>'Recycling - Case 2'!CC102</f>
        <v>0.28726458187406279</v>
      </c>
      <c r="CH32" s="100">
        <f>'Recycling - Case 2'!CD102</f>
        <v>0.15764324460297707</v>
      </c>
      <c r="CI32" s="471">
        <f>'Recycling - Case 2'!CE102</f>
        <v>0.28726458187406279</v>
      </c>
      <c r="CJ32" s="579">
        <f>'Recycling - Case 3'!CB102</f>
        <v>0.15764324460297707</v>
      </c>
      <c r="CK32" s="100">
        <f>'Recycling - Case 3'!CC102</f>
        <v>0.28726458187406279</v>
      </c>
      <c r="CL32" s="100">
        <f>'Recycling - Case 3'!CD102</f>
        <v>0.15764324460297707</v>
      </c>
      <c r="CM32" s="471">
        <f>'Recycling - Case 3'!CE102</f>
        <v>0.28726458187406279</v>
      </c>
    </row>
    <row r="33" spans="1:91">
      <c r="A33">
        <f>'Input data'!A122</f>
        <v>2022</v>
      </c>
      <c r="C33" s="116">
        <f>'4A SWD Case 1'!BG92</f>
        <v>739.19280116991513</v>
      </c>
      <c r="D33" s="3">
        <f>'4B Biological treatment '!T86</f>
        <v>0.61575410522651619</v>
      </c>
      <c r="E33" s="152">
        <f>'4B Biological treatment '!U86</f>
        <v>27.708934735193225</v>
      </c>
      <c r="F33" s="152">
        <f>'4B Biological treatment '!W86</f>
        <v>1.6625360841115935</v>
      </c>
      <c r="G33" s="688">
        <f>'4C2 Open-burning '!R93</f>
        <v>29.615979043837584</v>
      </c>
      <c r="H33" s="688">
        <f>'4C2 Open-burning '!Z93</f>
        <v>9.9648702440185204</v>
      </c>
      <c r="I33" s="688">
        <f>'4C2 Open-burning '!AH93</f>
        <v>0.13872781262726636</v>
      </c>
      <c r="J33" s="93">
        <f>'4D Wastewater treatment and dis'!AV130</f>
        <v>148.88938056271107</v>
      </c>
      <c r="K33" s="3">
        <f>'4D Wastewater treatment and dis'!AW130</f>
        <v>3.0596873027184164</v>
      </c>
      <c r="L33" s="465">
        <f t="shared" si="69"/>
        <v>15523.048824568217</v>
      </c>
      <c r="M33" s="688">
        <f t="shared" si="70"/>
        <v>12.930836209756841</v>
      </c>
      <c r="N33" s="465">
        <f t="shared" si="71"/>
        <v>1097.2738155136517</v>
      </c>
      <c r="O33" s="464">
        <f t="shared" si="72"/>
        <v>281.88387608267908</v>
      </c>
      <c r="P33" s="465">
        <f t="shared" si="73"/>
        <v>4075.1800556596418</v>
      </c>
      <c r="Q33" s="465">
        <f t="shared" si="74"/>
        <v>15523.048824568217</v>
      </c>
      <c r="R33" s="467">
        <f t="shared" si="75"/>
        <v>1110.2046517234085</v>
      </c>
      <c r="S33" s="464">
        <f t="shared" si="76"/>
        <v>281.88387608267908</v>
      </c>
      <c r="T33" s="465">
        <f t="shared" si="77"/>
        <v>4075.1800556596418</v>
      </c>
      <c r="U33" s="465">
        <f t="shared" si="78"/>
        <v>20990.317408033949</v>
      </c>
      <c r="V33" s="3"/>
      <c r="W33" s="535">
        <f t="shared" si="79"/>
        <v>2023</v>
      </c>
      <c r="X33" s="948">
        <f t="shared" si="80"/>
        <v>15071.155735754264</v>
      </c>
      <c r="Y33" s="465">
        <f t="shared" si="81"/>
        <v>1170.9342838477025</v>
      </c>
      <c r="Z33" s="465">
        <f t="shared" si="82"/>
        <v>274.67843923294652</v>
      </c>
      <c r="AA33" s="465">
        <f t="shared" si="83"/>
        <v>4156.4168668213024</v>
      </c>
      <c r="AB33" s="986">
        <f t="shared" si="22"/>
        <v>20673.185325656217</v>
      </c>
      <c r="AC33" s="1206" t="str">
        <f>IF(OR('Recycling - Case 1'!AC103="No",'Recycling - Case 1'!T143="No"), "No", "Yes")</f>
        <v>Yes</v>
      </c>
      <c r="AD33" s="948">
        <f t="shared" si="84"/>
        <v>15071.155735754264</v>
      </c>
      <c r="AE33" s="465">
        <f t="shared" si="85"/>
        <v>1170.9342838477025</v>
      </c>
      <c r="AF33" s="465">
        <f t="shared" si="86"/>
        <v>274.67843923294652</v>
      </c>
      <c r="AG33" s="465">
        <f t="shared" si="87"/>
        <v>4156.4168668213024</v>
      </c>
      <c r="AH33" s="986">
        <f t="shared" si="60"/>
        <v>20673.185325656217</v>
      </c>
      <c r="AI33" s="1206" t="str">
        <f>IF(OR('Recycling - Case 1'!AI14="No",'Recycling - Case 1'!Z143="No"), "No", "Yes")</f>
        <v>Yes</v>
      </c>
      <c r="AJ33" s="948">
        <f t="shared" si="88"/>
        <v>14860.420240425958</v>
      </c>
      <c r="AK33" s="465">
        <f t="shared" si="89"/>
        <v>1389.3368647742509</v>
      </c>
      <c r="AL33" s="465">
        <f t="shared" si="90"/>
        <v>217.34002107405581</v>
      </c>
      <c r="AM33" s="465">
        <f t="shared" si="91"/>
        <v>4473.1659836582639</v>
      </c>
      <c r="AN33" s="986">
        <f t="shared" si="92"/>
        <v>20940.26310993253</v>
      </c>
      <c r="AO33" s="1201" t="str">
        <f>IF(OR('Recycling - Case 2'!AC103="No",'Recycling - Case 2'!T143="No"), "No", "Yes")</f>
        <v>No</v>
      </c>
      <c r="AP33" s="948">
        <f t="shared" si="93"/>
        <v>14860.420240425958</v>
      </c>
      <c r="AQ33" s="465">
        <f t="shared" si="94"/>
        <v>1389.3368647742509</v>
      </c>
      <c r="AR33" s="465">
        <f t="shared" si="95"/>
        <v>217.34002107405581</v>
      </c>
      <c r="AS33" s="465">
        <f t="shared" si="96"/>
        <v>4473.1659836582639</v>
      </c>
      <c r="AT33" s="986">
        <f t="shared" si="37"/>
        <v>20940.26310993253</v>
      </c>
      <c r="AU33" s="1206" t="str">
        <f>IF(OR('Recycling - Case 2'!AC103="No",'Recycling - Case 2'!T183="No"), "No", "Yes")</f>
        <v>No</v>
      </c>
      <c r="AV33" s="948">
        <f t="shared" si="63"/>
        <v>14860.529759104096</v>
      </c>
      <c r="AW33" s="465">
        <f t="shared" si="64"/>
        <v>843.77363667654186</v>
      </c>
      <c r="AX33" s="465">
        <f t="shared" si="65"/>
        <v>217.34002107405581</v>
      </c>
      <c r="AY33" s="465">
        <f t="shared" si="66"/>
        <v>4473.1659836582639</v>
      </c>
      <c r="AZ33" s="986">
        <f t="shared" si="67"/>
        <v>20394.809400512961</v>
      </c>
      <c r="BA33" s="1206" t="str">
        <f>IF(OR('Recycling - Case 3'!AC103="No",'Recycling - Case 3'!T143="No"), "No", "Yes")</f>
        <v>No</v>
      </c>
      <c r="BB33" s="948">
        <f t="shared" si="97"/>
        <v>14860.529759104096</v>
      </c>
      <c r="BC33" s="465">
        <f t="shared" si="98"/>
        <v>843.77363667654186</v>
      </c>
      <c r="BD33" s="465">
        <f t="shared" si="99"/>
        <v>217.34002107405581</v>
      </c>
      <c r="BE33" s="465">
        <f t="shared" si="100"/>
        <v>4473.1659836582639</v>
      </c>
      <c r="BF33" s="986">
        <f t="shared" si="47"/>
        <v>20394.809400512961</v>
      </c>
      <c r="BG33" s="1206" t="str">
        <f>IF(OR('Recycling - Case 3'!AC103="No",'Recycling - Case 3'!T183="No"), "No", "Yes")</f>
        <v>No</v>
      </c>
      <c r="BH33" s="535">
        <f t="shared" si="48"/>
        <v>2023</v>
      </c>
      <c r="BI33" s="465">
        <f>'Recycling - Case 1'!BV103</f>
        <v>101.29449706092528</v>
      </c>
      <c r="BJ33" s="100">
        <f>'Recycling - Case 1'!BW103</f>
        <v>0.42943967314429082</v>
      </c>
      <c r="BK33" s="986">
        <f>'Recycling - Case 1'!BX103</f>
        <v>48.66538268302947</v>
      </c>
      <c r="BL33" s="948">
        <f>'Recycling - Case 1'!BY103</f>
        <v>101.29449706092528</v>
      </c>
      <c r="BM33" s="100">
        <f>'Recycling - Case 1'!BZ103</f>
        <v>0.42943967314429082</v>
      </c>
      <c r="BN33" s="986">
        <f>'Recycling - Case 1'!CA103</f>
        <v>48.66538268302947</v>
      </c>
      <c r="BO33" s="465">
        <f>'Recycling - Case 2'!BV103</f>
        <v>93.895881738038739</v>
      </c>
      <c r="BP33" s="100">
        <f>'Recycling - Case 2'!BW103</f>
        <v>0.53878834184779778</v>
      </c>
      <c r="BQ33" s="986">
        <f>'Recycling - Case 2'!BX103</f>
        <v>48.66538268302947</v>
      </c>
      <c r="BR33" s="948">
        <f>'Recycling - Case 2'!BY103</f>
        <v>93.895881738038739</v>
      </c>
      <c r="BS33" s="100">
        <f>'Recycling - Case 2'!BZ103</f>
        <v>0.53878834184779778</v>
      </c>
      <c r="BT33" s="986">
        <f>'Recycling - Case 2'!CA103</f>
        <v>48.66538268302947</v>
      </c>
      <c r="BU33" s="465">
        <f>'Recycling - Case 3'!BV103</f>
        <v>93.895881738038739</v>
      </c>
      <c r="BV33" s="100">
        <f>'Recycling - Case 3'!BW103</f>
        <v>0.53878834184779778</v>
      </c>
      <c r="BW33" s="986">
        <f>'Recycling - Case 3'!BX103</f>
        <v>48.66538268302947</v>
      </c>
      <c r="BX33" s="948">
        <f>'Recycling - Case 3'!BY103</f>
        <v>93.895881738038739</v>
      </c>
      <c r="BY33" s="100">
        <f>'Recycling - Case 3'!BZ103</f>
        <v>0.53878834184779778</v>
      </c>
      <c r="BZ33" s="986">
        <f>'Recycling - Case 3'!CA103</f>
        <v>48.66538268302947</v>
      </c>
      <c r="CA33" s="535">
        <v>2023</v>
      </c>
      <c r="CB33" s="579">
        <f>'Recycling - Case 1'!CB103</f>
        <v>0.11889879957863858</v>
      </c>
      <c r="CC33" s="100">
        <f>'Recycling - Case 1'!CC103</f>
        <v>0.23722934686853547</v>
      </c>
      <c r="CD33" s="100">
        <f>'Recycling - Case 1'!CD103</f>
        <v>0.11889879957863858</v>
      </c>
      <c r="CE33" s="471">
        <f>'Recycling - Case 1'!CE103</f>
        <v>0.23722934686853547</v>
      </c>
      <c r="CF33" s="579">
        <f>'Recycling - Case 2'!CB103</f>
        <v>0.17661362793734681</v>
      </c>
      <c r="CG33" s="100">
        <f>'Recycling - Case 2'!CC103</f>
        <v>0.29462639386268963</v>
      </c>
      <c r="CH33" s="100">
        <f>'Recycling - Case 2'!CD103</f>
        <v>0.17661362793734681</v>
      </c>
      <c r="CI33" s="471">
        <f>'Recycling - Case 2'!CE103</f>
        <v>0.29462639386268963</v>
      </c>
      <c r="CJ33" s="579">
        <f>'Recycling - Case 3'!CB103</f>
        <v>0.17661362793734681</v>
      </c>
      <c r="CK33" s="100">
        <f>'Recycling - Case 3'!CC103</f>
        <v>0.29462639386268963</v>
      </c>
      <c r="CL33" s="100">
        <f>'Recycling - Case 3'!CD103</f>
        <v>0.17661362793734681</v>
      </c>
      <c r="CM33" s="471">
        <f>'Recycling - Case 3'!CE103</f>
        <v>0.29462639386268963</v>
      </c>
    </row>
    <row r="34" spans="1:91">
      <c r="A34">
        <f>'Input data'!A123</f>
        <v>2023</v>
      </c>
      <c r="C34" s="116">
        <f>'4A SWD Case 1'!BG93</f>
        <v>717.67408265496499</v>
      </c>
      <c r="D34" s="3">
        <f>'4B Biological treatment '!T87</f>
        <v>0.64943665216178759</v>
      </c>
      <c r="E34" s="152">
        <f>'4B Biological treatment '!U87</f>
        <v>29.224649347280433</v>
      </c>
      <c r="F34" s="152">
        <f>'4B Biological treatment '!W87</f>
        <v>1.753478960836826</v>
      </c>
      <c r="G34" s="688">
        <f>'4C2 Open-burning '!R94</f>
        <v>28.858943665621116</v>
      </c>
      <c r="H34" s="688">
        <f>'4C2 Open-burning '!Z94</f>
        <v>9.710151016168842</v>
      </c>
      <c r="I34" s="688">
        <f>'4C2 Open-burning '!AH94</f>
        <v>0.13518169105735395</v>
      </c>
      <c r="J34" s="93">
        <f>'4D Wastewater treatment and dis'!AV131</f>
        <v>152.23774169979643</v>
      </c>
      <c r="K34" s="3">
        <f>'4D Wastewater treatment and dis'!AW131</f>
        <v>3.0949170681470224</v>
      </c>
      <c r="L34" s="465">
        <f t="shared" si="69"/>
        <v>15071.155735754264</v>
      </c>
      <c r="M34" s="688">
        <f t="shared" si="70"/>
        <v>13.63816969539754</v>
      </c>
      <c r="N34" s="465">
        <f t="shared" si="71"/>
        <v>1157.2961141523051</v>
      </c>
      <c r="O34" s="464">
        <f t="shared" si="72"/>
        <v>274.67843923294652</v>
      </c>
      <c r="P34" s="465">
        <f t="shared" si="73"/>
        <v>4156.4168668213024</v>
      </c>
      <c r="Q34" s="465">
        <f t="shared" si="74"/>
        <v>15071.155735754264</v>
      </c>
      <c r="R34" s="467">
        <f t="shared" si="75"/>
        <v>1170.9342838477025</v>
      </c>
      <c r="S34" s="464">
        <f t="shared" si="76"/>
        <v>274.67843923294652</v>
      </c>
      <c r="T34" s="465">
        <f t="shared" si="77"/>
        <v>4156.4168668213024</v>
      </c>
      <c r="U34" s="465">
        <f t="shared" si="78"/>
        <v>20673.185325656217</v>
      </c>
      <c r="V34" s="3"/>
      <c r="W34" s="535">
        <f t="shared" si="79"/>
        <v>2024</v>
      </c>
      <c r="X34" s="948">
        <f t="shared" si="80"/>
        <v>14621.919027456328</v>
      </c>
      <c r="Y34" s="465">
        <f t="shared" si="81"/>
        <v>1232.3694385235497</v>
      </c>
      <c r="Z34" s="465">
        <f t="shared" si="82"/>
        <v>267.68465368255238</v>
      </c>
      <c r="AA34" s="465">
        <f t="shared" si="83"/>
        <v>4238.9841554957311</v>
      </c>
      <c r="AB34" s="986">
        <f t="shared" si="22"/>
        <v>20360.957275158162</v>
      </c>
      <c r="AC34" s="1206" t="str">
        <f>IF(OR('Recycling - Case 1'!AC104="No",'Recycling - Case 1'!T144="No"), "No", "Yes")</f>
        <v>Yes</v>
      </c>
      <c r="AD34" s="948">
        <f t="shared" si="84"/>
        <v>14621.919027456328</v>
      </c>
      <c r="AE34" s="465">
        <f t="shared" si="85"/>
        <v>1232.3694385235497</v>
      </c>
      <c r="AF34" s="465">
        <f t="shared" si="86"/>
        <v>267.68465368255238</v>
      </c>
      <c r="AG34" s="465">
        <f t="shared" si="87"/>
        <v>4238.9841554957311</v>
      </c>
      <c r="AH34" s="986">
        <f t="shared" si="60"/>
        <v>20360.957275158162</v>
      </c>
      <c r="AI34" s="1206" t="str">
        <f>IF(OR('Recycling - Case 1'!AI15="No",'Recycling - Case 1'!Z144="No"), "No", "Yes")</f>
        <v>Yes</v>
      </c>
      <c r="AJ34" s="948">
        <f t="shared" si="88"/>
        <v>14304.336070593596</v>
      </c>
      <c r="AK34" s="465">
        <f t="shared" si="89"/>
        <v>1396.1713742184611</v>
      </c>
      <c r="AL34" s="465">
        <f t="shared" si="90"/>
        <v>205.3038143886219</v>
      </c>
      <c r="AM34" s="465">
        <f t="shared" si="91"/>
        <v>4612.7797461997052</v>
      </c>
      <c r="AN34" s="986">
        <f t="shared" si="92"/>
        <v>20518.591005400383</v>
      </c>
      <c r="AO34" s="1201" t="str">
        <f>IF(OR('Recycling - Case 2'!AC104="No",'Recycling - Case 2'!T144="No"), "No", "Yes")</f>
        <v>No</v>
      </c>
      <c r="AP34" s="948">
        <f t="shared" si="93"/>
        <v>14304.336070593596</v>
      </c>
      <c r="AQ34" s="465">
        <f t="shared" si="94"/>
        <v>1396.1713742184611</v>
      </c>
      <c r="AR34" s="465">
        <f t="shared" si="95"/>
        <v>205.3038143886219</v>
      </c>
      <c r="AS34" s="465">
        <f t="shared" si="96"/>
        <v>4612.7797461997052</v>
      </c>
      <c r="AT34" s="986">
        <f t="shared" si="37"/>
        <v>20518.591005400383</v>
      </c>
      <c r="AU34" s="1206" t="str">
        <f>IF(OR('Recycling - Case 2'!AC104="No",'Recycling - Case 2'!T184="No"), "No", "Yes")</f>
        <v>No</v>
      </c>
      <c r="AV34" s="948">
        <f t="shared" si="63"/>
        <v>14304.487813215472</v>
      </c>
      <c r="AW34" s="465">
        <f t="shared" si="64"/>
        <v>847.92437868508875</v>
      </c>
      <c r="AX34" s="465">
        <f t="shared" si="65"/>
        <v>205.3038143886219</v>
      </c>
      <c r="AY34" s="465">
        <f t="shared" si="66"/>
        <v>4612.7797461997052</v>
      </c>
      <c r="AZ34" s="986">
        <f t="shared" si="67"/>
        <v>19970.495752488889</v>
      </c>
      <c r="BA34" s="1206" t="str">
        <f>IF(OR('Recycling - Case 3'!AC104="No",'Recycling - Case 3'!T144="No"), "No", "Yes")</f>
        <v>No</v>
      </c>
      <c r="BB34" s="948">
        <f t="shared" si="97"/>
        <v>14304.487813215472</v>
      </c>
      <c r="BC34" s="465">
        <f t="shared" si="98"/>
        <v>847.92437868508875</v>
      </c>
      <c r="BD34" s="465">
        <f t="shared" si="99"/>
        <v>205.3038143886219</v>
      </c>
      <c r="BE34" s="465">
        <f t="shared" si="100"/>
        <v>4612.7797461997052</v>
      </c>
      <c r="BF34" s="986">
        <f t="shared" si="47"/>
        <v>19970.495752488889</v>
      </c>
      <c r="BG34" s="1206" t="str">
        <f>IF(OR('Recycling - Case 3'!AC104="No",'Recycling - Case 3'!T184="No"), "No", "Yes")</f>
        <v>No</v>
      </c>
      <c r="BH34" s="535">
        <f t="shared" si="48"/>
        <v>2024</v>
      </c>
      <c r="BI34" s="465">
        <f>'Recycling - Case 1'!BV104</f>
        <v>99.660712786873077</v>
      </c>
      <c r="BJ34" s="100">
        <f>'Recycling - Case 1'!BW104</f>
        <v>0.4501967784383204</v>
      </c>
      <c r="BK34" s="986">
        <f>'Recycling - Case 1'!BX104</f>
        <v>48.951332662830687</v>
      </c>
      <c r="BL34" s="948">
        <f>'Recycling - Case 1'!BY104</f>
        <v>99.660712786873077</v>
      </c>
      <c r="BM34" s="100">
        <f>'Recycling - Case 1'!BZ104</f>
        <v>0.4501967784383204</v>
      </c>
      <c r="BN34" s="986">
        <f>'Recycling - Case 1'!CA104</f>
        <v>48.951332662830687</v>
      </c>
      <c r="BO34" s="465">
        <f>'Recycling - Case 2'!BV104</f>
        <v>94.386092219277771</v>
      </c>
      <c r="BP34" s="100">
        <f>'Recycling - Case 2'!BW104</f>
        <v>0.55585830214516707</v>
      </c>
      <c r="BQ34" s="986">
        <f>'Recycling - Case 2'!BX104</f>
        <v>48.951332662830687</v>
      </c>
      <c r="BR34" s="948">
        <f>'Recycling - Case 2'!BY104</f>
        <v>94.386092219277771</v>
      </c>
      <c r="BS34" s="100">
        <f>'Recycling - Case 2'!BZ104</f>
        <v>0.55585830214516707</v>
      </c>
      <c r="BT34" s="986">
        <f>'Recycling - Case 2'!CA104</f>
        <v>48.951332662830687</v>
      </c>
      <c r="BU34" s="465">
        <f>'Recycling - Case 3'!BV104</f>
        <v>94.386092219277771</v>
      </c>
      <c r="BV34" s="100">
        <f>'Recycling - Case 3'!BW104</f>
        <v>0.55585830214516707</v>
      </c>
      <c r="BW34" s="986">
        <f>'Recycling - Case 3'!BX104</f>
        <v>48.951332662830687</v>
      </c>
      <c r="BX34" s="948">
        <f>'Recycling - Case 3'!BY104</f>
        <v>94.386092219277771</v>
      </c>
      <c r="BY34" s="100">
        <f>'Recycling - Case 3'!BZ104</f>
        <v>0.55585830214516707</v>
      </c>
      <c r="BZ34" s="986">
        <f>'Recycling - Case 3'!CA104</f>
        <v>48.951332662830687</v>
      </c>
      <c r="CA34" s="535">
        <v>2024</v>
      </c>
      <c r="CB34" s="579">
        <f>'Recycling - Case 1'!CB104</f>
        <v>0.13265100107403016</v>
      </c>
      <c r="CC34" s="100">
        <f>'Recycling - Case 1'!CC104</f>
        <v>0.26177150410927696</v>
      </c>
      <c r="CD34" s="100">
        <f>'Recycling - Case 1'!CD104</f>
        <v>0.13265100107403016</v>
      </c>
      <c r="CE34" s="471">
        <f>'Recycling - Case 1'!CE104</f>
        <v>0.26177150410927696</v>
      </c>
      <c r="CF34" s="579">
        <f>'Recycling - Case 2'!CB104</f>
        <v>0.19519681863773264</v>
      </c>
      <c r="CG34" s="100">
        <f>'Recycling - Case 2'!CC104</f>
        <v>0.29663005775103268</v>
      </c>
      <c r="CH34" s="100">
        <f>'Recycling - Case 2'!CD104</f>
        <v>0.19519681863773264</v>
      </c>
      <c r="CI34" s="471">
        <f>'Recycling - Case 2'!CE104</f>
        <v>0.29663005775103268</v>
      </c>
      <c r="CJ34" s="579">
        <f>'Recycling - Case 3'!CB104</f>
        <v>0.19519681863773264</v>
      </c>
      <c r="CK34" s="100">
        <f>'Recycling - Case 3'!CC104</f>
        <v>0.29663005775103268</v>
      </c>
      <c r="CL34" s="100">
        <f>'Recycling - Case 3'!CD104</f>
        <v>0.19519681863773264</v>
      </c>
      <c r="CM34" s="471">
        <f>'Recycling - Case 3'!CE104</f>
        <v>0.29663005775103268</v>
      </c>
    </row>
    <row r="35" spans="1:91">
      <c r="A35">
        <f>'Input data'!A124</f>
        <v>2024</v>
      </c>
      <c r="C35" s="116">
        <f>'4A SWD Case 1'!BG94</f>
        <v>696.28185845030134</v>
      </c>
      <c r="D35" s="3">
        <f>'4B Biological treatment '!T88</f>
        <v>0.68351050389547985</v>
      </c>
      <c r="E35" s="152">
        <f>'4B Biological treatment '!U88</f>
        <v>30.757972675296585</v>
      </c>
      <c r="F35" s="152">
        <f>'4B Biological treatment '!W88</f>
        <v>1.8454783605177951</v>
      </c>
      <c r="G35" s="688">
        <f>'4C2 Open-burning '!R95</f>
        <v>28.124145318244857</v>
      </c>
      <c r="H35" s="688">
        <f>'4C2 Open-burning '!Z95</f>
        <v>9.462913868401909</v>
      </c>
      <c r="I35" s="688">
        <f>'4C2 Open-burning '!AH95</f>
        <v>0.13173973267054012</v>
      </c>
      <c r="J35" s="93">
        <f>'4D Wastewater treatment and dis'!AV132</f>
        <v>155.64347086664165</v>
      </c>
      <c r="K35" s="3">
        <f>'4D Wastewater treatment and dis'!AW132</f>
        <v>3.1305524751492158</v>
      </c>
      <c r="L35" s="465">
        <f t="shared" si="69"/>
        <v>14621.919027456328</v>
      </c>
      <c r="M35" s="688">
        <f t="shared" si="70"/>
        <v>14.353720581805076</v>
      </c>
      <c r="N35" s="465">
        <f t="shared" si="71"/>
        <v>1218.0157179417447</v>
      </c>
      <c r="O35" s="464">
        <f t="shared" si="72"/>
        <v>267.68465368255238</v>
      </c>
      <c r="P35" s="465">
        <f t="shared" si="73"/>
        <v>4238.9841554957311</v>
      </c>
      <c r="Q35" s="465">
        <f t="shared" si="74"/>
        <v>14621.919027456328</v>
      </c>
      <c r="R35" s="467">
        <f t="shared" si="75"/>
        <v>1232.3694385235497</v>
      </c>
      <c r="S35" s="464">
        <f t="shared" si="76"/>
        <v>267.68465368255238</v>
      </c>
      <c r="T35" s="465">
        <f t="shared" si="77"/>
        <v>4238.9841554957311</v>
      </c>
      <c r="U35" s="465">
        <f t="shared" si="78"/>
        <v>20360.957275158162</v>
      </c>
      <c r="V35" s="3"/>
      <c r="W35" s="535">
        <f t="shared" si="79"/>
        <v>2025</v>
      </c>
      <c r="X35" s="948">
        <f t="shared" si="80"/>
        <v>14167.666973402589</v>
      </c>
      <c r="Y35" s="465">
        <f t="shared" si="81"/>
        <v>1294.7210673333775</v>
      </c>
      <c r="Z35" s="465">
        <f t="shared" si="82"/>
        <v>260.89544660619578</v>
      </c>
      <c r="AA35" s="465">
        <f t="shared" si="83"/>
        <v>4322.9017903124422</v>
      </c>
      <c r="AB35" s="986">
        <f t="shared" si="22"/>
        <v>20046.185277654604</v>
      </c>
      <c r="AC35" s="1206" t="str">
        <f>IF(OR('Recycling - Case 1'!AC105="No",'Recycling - Case 1'!T145="No"), "No", "Yes")</f>
        <v>Yes</v>
      </c>
      <c r="AD35" s="948">
        <f t="shared" si="84"/>
        <v>14167.666973402589</v>
      </c>
      <c r="AE35" s="465">
        <f t="shared" si="85"/>
        <v>1294.7210673333775</v>
      </c>
      <c r="AF35" s="465">
        <f t="shared" si="86"/>
        <v>260.89544660619578</v>
      </c>
      <c r="AG35" s="465">
        <f t="shared" si="87"/>
        <v>4322.9017903124422</v>
      </c>
      <c r="AH35" s="986">
        <f t="shared" si="60"/>
        <v>20046.185277654604</v>
      </c>
      <c r="AI35" s="1206" t="str">
        <f>IF(OR('Recycling - Case 1'!AI16="No",'Recycling - Case 1'!Z145="No"), "No", "Yes")</f>
        <v>Yes</v>
      </c>
      <c r="AJ35" s="948">
        <f t="shared" si="88"/>
        <v>13770.169985699875</v>
      </c>
      <c r="AK35" s="465">
        <f t="shared" si="89"/>
        <v>1403.9223577966516</v>
      </c>
      <c r="AL35" s="465">
        <f t="shared" si="90"/>
        <v>193.05753067442905</v>
      </c>
      <c r="AM35" s="465">
        <f t="shared" si="91"/>
        <v>4755.015547311632</v>
      </c>
      <c r="AN35" s="986">
        <f t="shared" si="92"/>
        <v>20122.165421482587</v>
      </c>
      <c r="AO35" s="1201" t="str">
        <f>IF(OR('Recycling - Case 2'!AC105="No",'Recycling - Case 2'!T145="No"), "No", "Yes")</f>
        <v>No</v>
      </c>
      <c r="AP35" s="948">
        <f t="shared" si="93"/>
        <v>13770.169985699875</v>
      </c>
      <c r="AQ35" s="465">
        <f t="shared" si="94"/>
        <v>1403.9223577966516</v>
      </c>
      <c r="AR35" s="465">
        <f t="shared" si="95"/>
        <v>193.05753067442905</v>
      </c>
      <c r="AS35" s="465">
        <f t="shared" si="96"/>
        <v>4755.015547311632</v>
      </c>
      <c r="AT35" s="986">
        <f t="shared" si="37"/>
        <v>20122.165421482587</v>
      </c>
      <c r="AU35" s="1206" t="str">
        <f>IF(OR('Recycling - Case 2'!AC105="No",'Recycling - Case 2'!T185="No"), "No", "Yes")</f>
        <v>No</v>
      </c>
      <c r="AV35" s="948">
        <f t="shared" si="63"/>
        <v>13770.37024651486</v>
      </c>
      <c r="AW35" s="465">
        <f t="shared" si="64"/>
        <v>852.63171480162703</v>
      </c>
      <c r="AX35" s="465">
        <f t="shared" si="65"/>
        <v>193.05753067442905</v>
      </c>
      <c r="AY35" s="465">
        <f t="shared" si="66"/>
        <v>4755.015547311632</v>
      </c>
      <c r="AZ35" s="986">
        <f t="shared" si="67"/>
        <v>19571.075039302548</v>
      </c>
      <c r="BA35" s="1206" t="str">
        <f>IF(OR('Recycling - Case 3'!AC105="No",'Recycling - Case 3'!T145="No"), "No", "Yes")</f>
        <v>No</v>
      </c>
      <c r="BB35" s="948">
        <f t="shared" si="97"/>
        <v>13770.37024651486</v>
      </c>
      <c r="BC35" s="465">
        <f t="shared" si="98"/>
        <v>852.63171480162703</v>
      </c>
      <c r="BD35" s="465">
        <f t="shared" si="99"/>
        <v>193.05753067442905</v>
      </c>
      <c r="BE35" s="465">
        <f t="shared" si="100"/>
        <v>4755.015547311632</v>
      </c>
      <c r="BF35" s="986">
        <f t="shared" si="47"/>
        <v>19571.075039302548</v>
      </c>
      <c r="BG35" s="1206" t="str">
        <f>IF(OR('Recycling - Case 3'!AC105="No",'Recycling - Case 3'!T185="No"), "No", "Yes")</f>
        <v>No</v>
      </c>
      <c r="BH35" s="535">
        <f t="shared" si="48"/>
        <v>2025</v>
      </c>
      <c r="BI35" s="465">
        <f>'Recycling - Case 1'!BV105</f>
        <v>98.209446294936669</v>
      </c>
      <c r="BJ35" s="100">
        <f>'Recycling - Case 1'!BW105</f>
        <v>0.47104119198988736</v>
      </c>
      <c r="BK35" s="986">
        <f>'Recycling - Case 1'!BX105</f>
        <v>48.538822712079686</v>
      </c>
      <c r="BL35" s="948">
        <f>'Recycling - Case 1'!BY105</f>
        <v>98.209446294936669</v>
      </c>
      <c r="BM35" s="100">
        <f>'Recycling - Case 1'!BZ105</f>
        <v>0.47104119198988736</v>
      </c>
      <c r="BN35" s="986">
        <f>'Recycling - Case 1'!CA105</f>
        <v>48.538822712079686</v>
      </c>
      <c r="BO35" s="465">
        <f>'Recycling - Case 2'!BV105</f>
        <v>94.239453340824994</v>
      </c>
      <c r="BP35" s="100">
        <f>'Recycling - Case 2'!BW105</f>
        <v>0.57543432992476073</v>
      </c>
      <c r="BQ35" s="986">
        <f>'Recycling - Case 2'!BX105</f>
        <v>48.538822712079686</v>
      </c>
      <c r="BR35" s="948">
        <f>'Recycling - Case 2'!BY105</f>
        <v>94.239453340824994</v>
      </c>
      <c r="BS35" s="100">
        <f>'Recycling - Case 2'!BZ105</f>
        <v>0.57543432992476073</v>
      </c>
      <c r="BT35" s="986">
        <f>'Recycling - Case 2'!CA105</f>
        <v>48.538822712079686</v>
      </c>
      <c r="BU35" s="465">
        <f>'Recycling - Case 3'!BV105</f>
        <v>94.239453340824994</v>
      </c>
      <c r="BV35" s="100">
        <f>'Recycling - Case 3'!BW105</f>
        <v>0.57543432992476073</v>
      </c>
      <c r="BW35" s="986">
        <f>'Recycling - Case 3'!BX105</f>
        <v>48.538822712079686</v>
      </c>
      <c r="BX35" s="948">
        <f>'Recycling - Case 3'!BY105</f>
        <v>94.239453340824994</v>
      </c>
      <c r="BY35" s="100">
        <f>'Recycling - Case 3'!BZ105</f>
        <v>0.57543432992476073</v>
      </c>
      <c r="BZ35" s="986">
        <f>'Recycling - Case 3'!CA105</f>
        <v>48.538822712079686</v>
      </c>
      <c r="CA35" s="535">
        <v>2025</v>
      </c>
      <c r="CB35" s="579">
        <f>'Recycling - Case 1'!CB105</f>
        <v>0.14528032436176563</v>
      </c>
      <c r="CC35" s="100">
        <f>'Recycling - Case 1'!CC105</f>
        <v>0.28038453844312683</v>
      </c>
      <c r="CD35" s="100">
        <f>'Recycling - Case 1'!CD105</f>
        <v>0.14528032436176563</v>
      </c>
      <c r="CE35" s="471">
        <f>'Recycling - Case 1'!CE105</f>
        <v>0.28038453844312683</v>
      </c>
      <c r="CF35" s="579">
        <f>'Recycling - Case 2'!CB105</f>
        <v>0.21340034507035144</v>
      </c>
      <c r="CG35" s="100">
        <f>'Recycling - Case 2'!CC105</f>
        <v>0.30094157176700709</v>
      </c>
      <c r="CH35" s="100">
        <f>'Recycling - Case 2'!CD105</f>
        <v>0.21340034507035144</v>
      </c>
      <c r="CI35" s="471">
        <f>'Recycling - Case 2'!CE105</f>
        <v>0.30094157176700709</v>
      </c>
      <c r="CJ35" s="579">
        <f>'Recycling - Case 3'!CB105</f>
        <v>0.21340034507035144</v>
      </c>
      <c r="CK35" s="100">
        <f>'Recycling - Case 3'!CC105</f>
        <v>0.30094157176700709</v>
      </c>
      <c r="CL35" s="100">
        <f>'Recycling - Case 3'!CD105</f>
        <v>0.21340034507035144</v>
      </c>
      <c r="CM35" s="471">
        <f>'Recycling - Case 3'!CE105</f>
        <v>0.30094157176700709</v>
      </c>
    </row>
    <row r="36" spans="1:91">
      <c r="A36">
        <f>'Input data'!A125</f>
        <v>2025</v>
      </c>
      <c r="C36" s="116">
        <f>'4A SWD Case 1'!BG95</f>
        <v>674.65080825726614</v>
      </c>
      <c r="D36" s="3">
        <f>'4B Biological treatment '!T89</f>
        <v>0.7180926607506255</v>
      </c>
      <c r="E36" s="152">
        <f>'4B Biological treatment '!U89</f>
        <v>32.314169733778144</v>
      </c>
      <c r="F36" s="152">
        <f>'4B Biological treatment '!W89</f>
        <v>1.9388501840266885</v>
      </c>
      <c r="G36" s="688">
        <f>'4C2 Open-burning '!R96</f>
        <v>27.410840899092218</v>
      </c>
      <c r="H36" s="688">
        <f>'4C2 Open-burning '!Z96</f>
        <v>9.222908769437602</v>
      </c>
      <c r="I36" s="688">
        <f>'4C2 Open-burning '!AH96</f>
        <v>0.1283984566093998</v>
      </c>
      <c r="J36" s="93">
        <f>'4D Wastewater treatment and dis'!AV133</f>
        <v>159.10744524111379</v>
      </c>
      <c r="K36" s="3">
        <f>'4D Wastewater treatment and dis'!AW133</f>
        <v>3.166598194351784</v>
      </c>
      <c r="L36" s="465">
        <f t="shared" si="69"/>
        <v>14167.666973402589</v>
      </c>
      <c r="M36" s="688">
        <f t="shared" si="70"/>
        <v>15.079945875763135</v>
      </c>
      <c r="N36" s="465">
        <f t="shared" si="71"/>
        <v>1279.6411214576144</v>
      </c>
      <c r="O36" s="464">
        <f t="shared" si="72"/>
        <v>260.89544660619578</v>
      </c>
      <c r="P36" s="465">
        <f t="shared" si="73"/>
        <v>4322.9017903124422</v>
      </c>
      <c r="Q36" s="465">
        <f t="shared" si="74"/>
        <v>14167.666973402589</v>
      </c>
      <c r="R36" s="467">
        <f t="shared" si="75"/>
        <v>1294.7210673333775</v>
      </c>
      <c r="S36" s="464">
        <f t="shared" si="76"/>
        <v>260.89544660619578</v>
      </c>
      <c r="T36" s="465">
        <f t="shared" si="77"/>
        <v>4322.9017903124422</v>
      </c>
      <c r="U36" s="465">
        <f t="shared" si="78"/>
        <v>20046.185277654604</v>
      </c>
      <c r="V36" s="3"/>
      <c r="W36" s="535">
        <f t="shared" si="79"/>
        <v>2026</v>
      </c>
      <c r="X36" s="948">
        <f t="shared" si="80"/>
        <v>13714.18171476329</v>
      </c>
      <c r="Y36" s="465">
        <f t="shared" si="81"/>
        <v>1357.4836918972953</v>
      </c>
      <c r="Z36" s="465">
        <f t="shared" si="82"/>
        <v>254.421083403664</v>
      </c>
      <c r="AA36" s="465">
        <f t="shared" si="83"/>
        <v>4400.9219620497197</v>
      </c>
      <c r="AB36" s="986">
        <f t="shared" si="22"/>
        <v>19727.008452113969</v>
      </c>
      <c r="AC36" s="1206" t="str">
        <f>IF(OR('Recycling - Case 1'!AC106="No",'Recycling - Case 1'!T146="No"), "No", "Yes")</f>
        <v>Yes</v>
      </c>
      <c r="AD36" s="948">
        <f t="shared" si="84"/>
        <v>13714.18171476329</v>
      </c>
      <c r="AE36" s="465">
        <f t="shared" si="85"/>
        <v>1357.4836918972953</v>
      </c>
      <c r="AF36" s="465">
        <f t="shared" si="86"/>
        <v>254.421083403664</v>
      </c>
      <c r="AG36" s="465">
        <f t="shared" si="87"/>
        <v>4400.9219620497197</v>
      </c>
      <c r="AH36" s="986">
        <f t="shared" si="60"/>
        <v>19727.008452113969</v>
      </c>
      <c r="AI36" s="1206" t="str">
        <f>IF(OR('Recycling - Case 1'!AI17="No",'Recycling - Case 1'!Z146="No"), "No", "Yes")</f>
        <v>Yes</v>
      </c>
      <c r="AJ36" s="948">
        <f t="shared" si="88"/>
        <v>13256.295502003479</v>
      </c>
      <c r="AK36" s="465">
        <f t="shared" si="89"/>
        <v>1412.0843371289322</v>
      </c>
      <c r="AL36" s="465">
        <f t="shared" si="90"/>
        <v>180.70037146955198</v>
      </c>
      <c r="AM36" s="465">
        <f t="shared" si="91"/>
        <v>4891.8365725125823</v>
      </c>
      <c r="AN36" s="986">
        <f t="shared" si="92"/>
        <v>19740.916783114546</v>
      </c>
      <c r="AO36" s="1201" t="str">
        <f>IF(OR('Recycling - Case 2'!AC106="No",'Recycling - Case 2'!T146="No"), "No", "Yes")</f>
        <v>No</v>
      </c>
      <c r="AP36" s="948">
        <f t="shared" si="93"/>
        <v>13256.295502003479</v>
      </c>
      <c r="AQ36" s="465">
        <f t="shared" si="94"/>
        <v>1412.0843371289322</v>
      </c>
      <c r="AR36" s="465">
        <f t="shared" si="95"/>
        <v>180.70037146955198</v>
      </c>
      <c r="AS36" s="465">
        <f t="shared" si="96"/>
        <v>4891.8365725125823</v>
      </c>
      <c r="AT36" s="986">
        <f t="shared" si="37"/>
        <v>19740.916783114546</v>
      </c>
      <c r="AU36" s="1206" t="str">
        <f>IF(OR('Recycling - Case 2'!AC106="No",'Recycling - Case 2'!T186="No"), "No", "Yes")</f>
        <v>No</v>
      </c>
      <c r="AV36" s="948">
        <f t="shared" si="63"/>
        <v>13256.550403840205</v>
      </c>
      <c r="AW36" s="465">
        <f t="shared" si="64"/>
        <v>857.58865732455945</v>
      </c>
      <c r="AX36" s="465">
        <f t="shared" si="65"/>
        <v>180.70037146955198</v>
      </c>
      <c r="AY36" s="465">
        <f t="shared" si="66"/>
        <v>4891.8365725125823</v>
      </c>
      <c r="AZ36" s="986">
        <f t="shared" si="67"/>
        <v>19186.676005146895</v>
      </c>
      <c r="BA36" s="1206" t="str">
        <f>IF(OR('Recycling - Case 3'!AC106="No",'Recycling - Case 3'!T146="No"), "No", "Yes")</f>
        <v>No</v>
      </c>
      <c r="BB36" s="948">
        <f t="shared" si="97"/>
        <v>13256.550403840205</v>
      </c>
      <c r="BC36" s="465">
        <f t="shared" si="98"/>
        <v>857.58865732455945</v>
      </c>
      <c r="BD36" s="465">
        <f t="shared" si="99"/>
        <v>180.70037146955198</v>
      </c>
      <c r="BE36" s="465">
        <f t="shared" si="100"/>
        <v>4891.8365725125823</v>
      </c>
      <c r="BF36" s="986">
        <f t="shared" si="47"/>
        <v>19186.676005146895</v>
      </c>
      <c r="BG36" s="1206" t="str">
        <f>IF(OR('Recycling - Case 3'!AC106="No",'Recycling - Case 3'!T186="No"), "No", "Yes")</f>
        <v>No</v>
      </c>
      <c r="BH36" s="535">
        <f t="shared" si="48"/>
        <v>2026</v>
      </c>
      <c r="BI36" s="465">
        <f>'Recycling - Case 1'!BV106</f>
        <v>96.860723321028317</v>
      </c>
      <c r="BJ36" s="100">
        <f>'Recycling - Case 1'!BW106</f>
        <v>0.49152306893525899</v>
      </c>
      <c r="BK36" s="986">
        <f>'Recycling - Case 1'!BX106</f>
        <v>47.37256021369511</v>
      </c>
      <c r="BL36" s="948">
        <f>'Recycling - Case 1'!BY106</f>
        <v>96.860723321028317</v>
      </c>
      <c r="BM36" s="100">
        <f>'Recycling - Case 1'!BZ106</f>
        <v>0.49152306893525899</v>
      </c>
      <c r="BN36" s="986">
        <f>'Recycling - Case 1'!CA106</f>
        <v>47.37256021369511</v>
      </c>
      <c r="BO36" s="465">
        <f>'Recycling - Case 2'!BV106</f>
        <v>93.354710398498881</v>
      </c>
      <c r="BP36" s="100">
        <f>'Recycling - Case 2'!BW106</f>
        <v>0.59732501516725145</v>
      </c>
      <c r="BQ36" s="986">
        <f>'Recycling - Case 2'!BX106</f>
        <v>47.37256021369511</v>
      </c>
      <c r="BR36" s="948">
        <f>'Recycling - Case 2'!BY106</f>
        <v>93.354710398498881</v>
      </c>
      <c r="BS36" s="100">
        <f>'Recycling - Case 2'!BZ106</f>
        <v>0.59732501516725145</v>
      </c>
      <c r="BT36" s="986">
        <f>'Recycling - Case 2'!CA106</f>
        <v>47.37256021369511</v>
      </c>
      <c r="BU36" s="465">
        <f>'Recycling - Case 3'!BV106</f>
        <v>93.354710398498881</v>
      </c>
      <c r="BV36" s="100">
        <f>'Recycling - Case 3'!BW106</f>
        <v>0.59732501516725145</v>
      </c>
      <c r="BW36" s="986">
        <f>'Recycling - Case 3'!BX106</f>
        <v>47.37256021369511</v>
      </c>
      <c r="BX36" s="948">
        <f>'Recycling - Case 3'!BY106</f>
        <v>93.354710398498881</v>
      </c>
      <c r="BY36" s="100">
        <f>'Recycling - Case 3'!BZ106</f>
        <v>0.59732501516725145</v>
      </c>
      <c r="BZ36" s="986">
        <f>'Recycling - Case 3'!CA106</f>
        <v>47.37256021369511</v>
      </c>
      <c r="CA36" s="535">
        <v>2026</v>
      </c>
      <c r="CB36" s="579">
        <f>'Recycling - Case 1'!CB106</f>
        <v>0.15588583154405877</v>
      </c>
      <c r="CC36" s="100">
        <f>'Recycling - Case 1'!CC106</f>
        <v>0.29324693266375179</v>
      </c>
      <c r="CD36" s="100">
        <f>'Recycling - Case 1'!CD106</f>
        <v>0.15588583154405877</v>
      </c>
      <c r="CE36" s="471">
        <f>'Recycling - Case 1'!CE106</f>
        <v>0.29324693266375179</v>
      </c>
      <c r="CF36" s="579">
        <f>'Recycling - Case 2'!CB106</f>
        <v>0.23044140465623386</v>
      </c>
      <c r="CG36" s="100">
        <f>'Recycling - Case 2'!CC106</f>
        <v>0.30754375164867309</v>
      </c>
      <c r="CH36" s="100">
        <f>'Recycling - Case 2'!CD106</f>
        <v>0.23044140465623386</v>
      </c>
      <c r="CI36" s="471">
        <f>'Recycling - Case 2'!CE106</f>
        <v>0.30754375164867309</v>
      </c>
      <c r="CJ36" s="579">
        <f>'Recycling - Case 3'!CB106</f>
        <v>0.23044140465623386</v>
      </c>
      <c r="CK36" s="100">
        <f>'Recycling - Case 3'!CC106</f>
        <v>0.30754375164867309</v>
      </c>
      <c r="CL36" s="100">
        <f>'Recycling - Case 3'!CD106</f>
        <v>0.23044140465623386</v>
      </c>
      <c r="CM36" s="471">
        <f>'Recycling - Case 3'!CE106</f>
        <v>0.30754375164867309</v>
      </c>
    </row>
    <row r="37" spans="1:91">
      <c r="A37">
        <f>'Input data'!A126</f>
        <v>2026</v>
      </c>
      <c r="C37" s="116">
        <f>'4A SWD Case 1'!BG96</f>
        <v>653.05627213158527</v>
      </c>
      <c r="D37" s="3">
        <f>'4B Biological treatment '!T90</f>
        <v>0.75290276866183881</v>
      </c>
      <c r="E37" s="152">
        <f>'4B Biological treatment '!U90</f>
        <v>33.880624589782741</v>
      </c>
      <c r="F37" s="152">
        <f>'4B Biological treatment '!W90</f>
        <v>2.0328374753869642</v>
      </c>
      <c r="G37" s="688">
        <f>'4C2 Open-burning '!R97</f>
        <v>26.730615383560647</v>
      </c>
      <c r="H37" s="688">
        <f>'4C2 Open-burning '!Z97</f>
        <v>8.9940337088188294</v>
      </c>
      <c r="I37" s="688">
        <f>'4C2 Open-burning '!AH97</f>
        <v>0.12521212946744487</v>
      </c>
      <c r="J37" s="93">
        <f>'4D Wastewater treatment and dis'!AV134</f>
        <v>162.36241909655723</v>
      </c>
      <c r="K37" s="3">
        <f>'4D Wastewater treatment and dis'!AW134</f>
        <v>3.1977779387807019</v>
      </c>
      <c r="L37" s="465">
        <f t="shared" si="69"/>
        <v>13714.18171476329</v>
      </c>
      <c r="M37" s="688">
        <f t="shared" si="70"/>
        <v>15.810958141898615</v>
      </c>
      <c r="N37" s="465">
        <f t="shared" si="71"/>
        <v>1341.6727337553966</v>
      </c>
      <c r="O37" s="464">
        <f t="shared" si="72"/>
        <v>254.421083403664</v>
      </c>
      <c r="P37" s="465">
        <f t="shared" si="73"/>
        <v>4400.9219620497197</v>
      </c>
      <c r="Q37" s="465">
        <f t="shared" si="74"/>
        <v>13714.18171476329</v>
      </c>
      <c r="R37" s="467">
        <f t="shared" si="75"/>
        <v>1357.4836918972953</v>
      </c>
      <c r="S37" s="464">
        <f t="shared" si="76"/>
        <v>254.421083403664</v>
      </c>
      <c r="T37" s="465">
        <f t="shared" si="77"/>
        <v>4400.9219620497197</v>
      </c>
      <c r="U37" s="465">
        <f t="shared" si="78"/>
        <v>19727.008452113969</v>
      </c>
      <c r="V37" s="3"/>
      <c r="W37" s="535">
        <f t="shared" si="79"/>
        <v>2027</v>
      </c>
      <c r="X37" s="948">
        <f t="shared" si="80"/>
        <v>13266.4652789832</v>
      </c>
      <c r="Y37" s="465">
        <f t="shared" si="81"/>
        <v>1420.9269198340637</v>
      </c>
      <c r="Z37" s="465">
        <f t="shared" si="82"/>
        <v>248.16184383159901</v>
      </c>
      <c r="AA37" s="465">
        <f t="shared" si="83"/>
        <v>4480.0594606132472</v>
      </c>
      <c r="AB37" s="986">
        <f t="shared" si="22"/>
        <v>19415.61350326211</v>
      </c>
      <c r="AC37" s="1206" t="str">
        <f>IF(OR('Recycling - Case 1'!AC107="No",'Recycling - Case 1'!T147="No"), "No", "Yes")</f>
        <v>No</v>
      </c>
      <c r="AD37" s="948">
        <f t="shared" si="84"/>
        <v>13266.4652789832</v>
      </c>
      <c r="AE37" s="465">
        <f t="shared" si="85"/>
        <v>1420.9269198340637</v>
      </c>
      <c r="AF37" s="465">
        <f t="shared" si="86"/>
        <v>248.16184383159901</v>
      </c>
      <c r="AG37" s="465">
        <f t="shared" si="87"/>
        <v>4480.0594606132472</v>
      </c>
      <c r="AH37" s="986">
        <f t="shared" si="60"/>
        <v>19415.61350326211</v>
      </c>
      <c r="AI37" s="1206" t="str">
        <f>IF(OR('Recycling - Case 1'!AI18="No",'Recycling - Case 1'!Z147="No"), "No", "Yes")</f>
        <v>Yes</v>
      </c>
      <c r="AJ37" s="948">
        <f t="shared" si="88"/>
        <v>12761.075530210079</v>
      </c>
      <c r="AK37" s="465">
        <f t="shared" si="89"/>
        <v>1420.9269198340637</v>
      </c>
      <c r="AL37" s="465">
        <f t="shared" si="90"/>
        <v>168.10228643963038</v>
      </c>
      <c r="AM37" s="465">
        <f t="shared" si="91"/>
        <v>5030.8909891052281</v>
      </c>
      <c r="AN37" s="986">
        <f t="shared" si="92"/>
        <v>19380.995725589004</v>
      </c>
      <c r="AO37" s="1201" t="str">
        <f>IF(OR('Recycling - Case 2'!AC107="No",'Recycling - Case 2'!T147="No"), "No", "Yes")</f>
        <v>No</v>
      </c>
      <c r="AP37" s="948">
        <f t="shared" si="93"/>
        <v>12761.075530210079</v>
      </c>
      <c r="AQ37" s="465">
        <f t="shared" si="94"/>
        <v>1420.9269198340637</v>
      </c>
      <c r="AR37" s="465">
        <f t="shared" si="95"/>
        <v>168.10228643963038</v>
      </c>
      <c r="AS37" s="465">
        <f t="shared" si="96"/>
        <v>5030.8909891052281</v>
      </c>
      <c r="AT37" s="986">
        <f t="shared" si="37"/>
        <v>19380.995725589004</v>
      </c>
      <c r="AU37" s="1206" t="str">
        <f>IF(OR('Recycling - Case 2'!AC107="No",'Recycling - Case 2'!T187="No"), "No", "Yes")</f>
        <v>No</v>
      </c>
      <c r="AV37" s="948">
        <f t="shared" si="63"/>
        <v>12761.390913394656</v>
      </c>
      <c r="AW37" s="465">
        <f t="shared" si="64"/>
        <v>862.95894465795868</v>
      </c>
      <c r="AX37" s="465">
        <f t="shared" si="65"/>
        <v>168.10228643963038</v>
      </c>
      <c r="AY37" s="465">
        <f t="shared" si="66"/>
        <v>5030.8909891052281</v>
      </c>
      <c r="AZ37" s="986">
        <f t="shared" si="67"/>
        <v>18823.343133597475</v>
      </c>
      <c r="BA37" s="1206" t="str">
        <f>IF(OR('Recycling - Case 3'!AC107="No",'Recycling - Case 3'!T147="No"), "No", "Yes")</f>
        <v>No</v>
      </c>
      <c r="BB37" s="948">
        <f t="shared" si="97"/>
        <v>12761.390913394656</v>
      </c>
      <c r="BC37" s="465">
        <f t="shared" si="98"/>
        <v>862.95894465795868</v>
      </c>
      <c r="BD37" s="465">
        <f t="shared" si="99"/>
        <v>168.10228643963038</v>
      </c>
      <c r="BE37" s="465">
        <f t="shared" si="100"/>
        <v>5030.8909891052281</v>
      </c>
      <c r="BF37" s="986">
        <f t="shared" si="47"/>
        <v>18823.343133597475</v>
      </c>
      <c r="BG37" s="1206" t="str">
        <f>IF(OR('Recycling - Case 3'!AC107="No",'Recycling - Case 3'!T187="No"), "No", "Yes")</f>
        <v>No</v>
      </c>
      <c r="BH37" s="535">
        <f t="shared" si="48"/>
        <v>2027</v>
      </c>
      <c r="BI37" s="465">
        <f>'Recycling - Case 1'!BV107</f>
        <v>96.072214770336927</v>
      </c>
      <c r="BJ37" s="100">
        <f>'Recycling - Case 1'!BW107</f>
        <v>0.51246564716937448</v>
      </c>
      <c r="BK37" s="986">
        <f>'Recycling - Case 1'!BX107</f>
        <v>47.544656205152293</v>
      </c>
      <c r="BL37" s="948">
        <f>'Recycling - Case 1'!BY107</f>
        <v>96.072214770336927</v>
      </c>
      <c r="BM37" s="100">
        <f>'Recycling - Case 1'!BZ107</f>
        <v>0.51246564716937448</v>
      </c>
      <c r="BN37" s="986">
        <f>'Recycling - Case 1'!CA107</f>
        <v>47.544656205152293</v>
      </c>
      <c r="BO37" s="465">
        <f>'Recycling - Case 2'!BV107</f>
        <v>93.853672466654629</v>
      </c>
      <c r="BP37" s="100">
        <f>'Recycling - Case 2'!BW107</f>
        <v>0.61492556319430869</v>
      </c>
      <c r="BQ37" s="986">
        <f>'Recycling - Case 2'!BX107</f>
        <v>47.544656205152293</v>
      </c>
      <c r="BR37" s="948">
        <f>'Recycling - Case 2'!BY107</f>
        <v>93.853672466654629</v>
      </c>
      <c r="BS37" s="100">
        <f>'Recycling - Case 2'!BZ107</f>
        <v>0.61492556319430869</v>
      </c>
      <c r="BT37" s="986">
        <f>'Recycling - Case 2'!CA107</f>
        <v>47.544656205152293</v>
      </c>
      <c r="BU37" s="465">
        <f>'Recycling - Case 3'!BV107</f>
        <v>93.853672466654629</v>
      </c>
      <c r="BV37" s="100">
        <f>'Recycling - Case 3'!BW107</f>
        <v>0.61492556319430869</v>
      </c>
      <c r="BW37" s="986">
        <f>'Recycling - Case 3'!BX107</f>
        <v>47.544656205152293</v>
      </c>
      <c r="BX37" s="948">
        <f>'Recycling - Case 3'!BY107</f>
        <v>93.853672466654629</v>
      </c>
      <c r="BY37" s="100">
        <f>'Recycling - Case 3'!BZ107</f>
        <v>0.61492556319430869</v>
      </c>
      <c r="BZ37" s="986">
        <f>'Recycling - Case 3'!CA107</f>
        <v>47.544656205152293</v>
      </c>
      <c r="CA37" s="535">
        <v>2027</v>
      </c>
      <c r="CB37" s="579">
        <f>'Recycling - Case 1'!CB107</f>
        <v>0.16554621920854717</v>
      </c>
      <c r="CC37" s="100">
        <f>'Recycling - Case 1'!CC107</f>
        <v>0.31044005724397417</v>
      </c>
      <c r="CD37" s="100">
        <f>'Recycling - Case 1'!CD107</f>
        <v>0.16554621920854717</v>
      </c>
      <c r="CE37" s="471">
        <f>'Recycling - Case 1'!CE107</f>
        <v>0.31044005724397417</v>
      </c>
      <c r="CF37" s="579">
        <f>'Recycling - Case 2'!CB107</f>
        <v>0.24719384179753368</v>
      </c>
      <c r="CG37" s="100">
        <f>'Recycling - Case 2'!CC107</f>
        <v>0.31044005724397417</v>
      </c>
      <c r="CH37" s="100">
        <f>'Recycling - Case 2'!CD107</f>
        <v>0.24719384179753368</v>
      </c>
      <c r="CI37" s="471">
        <f>'Recycling - Case 2'!CE107</f>
        <v>0.31044005724397417</v>
      </c>
      <c r="CJ37" s="579">
        <f>'Recycling - Case 3'!CB107</f>
        <v>0.24719384179753368</v>
      </c>
      <c r="CK37" s="100">
        <f>'Recycling - Case 3'!CC107</f>
        <v>0.31044005724397417</v>
      </c>
      <c r="CL37" s="100">
        <f>'Recycling - Case 3'!CD107</f>
        <v>0.24719384179753368</v>
      </c>
      <c r="CM37" s="471">
        <f>'Recycling - Case 3'!CE107</f>
        <v>0.31044005724397417</v>
      </c>
    </row>
    <row r="38" spans="1:91">
      <c r="A38">
        <f>'Input data'!A127</f>
        <v>2027</v>
      </c>
      <c r="C38" s="116">
        <f>'4A SWD Case 1'!BG97</f>
        <v>631.73644185634282</v>
      </c>
      <c r="D38" s="3">
        <f>'4B Biological treatment '!T91</f>
        <v>0.78809036041822733</v>
      </c>
      <c r="E38" s="152">
        <f>'4B Biological treatment '!U91</f>
        <v>35.464066218820221</v>
      </c>
      <c r="F38" s="152">
        <f>'4B Biological treatment '!W91</f>
        <v>2.1278439731292136</v>
      </c>
      <c r="G38" s="688">
        <f>'4C2 Open-burning '!R98</f>
        <v>26.072991717486669</v>
      </c>
      <c r="H38" s="688">
        <f>'4C2 Open-burning '!Z98</f>
        <v>8.7727634785784918</v>
      </c>
      <c r="I38" s="688">
        <f>'4C2 Open-burning '!AH98</f>
        <v>0.12213167439988395</v>
      </c>
      <c r="J38" s="93">
        <f>'4D Wastewater treatment and dis'!AV135</f>
        <v>165.66606694292278</v>
      </c>
      <c r="K38" s="3">
        <f>'4D Wastewater treatment and dis'!AW135</f>
        <v>3.2292646929415123</v>
      </c>
      <c r="L38" s="465">
        <f t="shared" si="69"/>
        <v>13266.4652789832</v>
      </c>
      <c r="M38" s="688">
        <f t="shared" si="70"/>
        <v>16.549897568782775</v>
      </c>
      <c r="N38" s="465">
        <f t="shared" si="71"/>
        <v>1404.3770222652809</v>
      </c>
      <c r="O38" s="464">
        <f t="shared" si="72"/>
        <v>248.16184383159901</v>
      </c>
      <c r="P38" s="465">
        <f t="shared" si="73"/>
        <v>4480.0594606132472</v>
      </c>
      <c r="Q38" s="465">
        <f t="shared" si="74"/>
        <v>13266.4652789832</v>
      </c>
      <c r="R38" s="467">
        <f t="shared" si="75"/>
        <v>1420.9269198340637</v>
      </c>
      <c r="S38" s="464">
        <f t="shared" si="76"/>
        <v>248.16184383159901</v>
      </c>
      <c r="T38" s="465">
        <f t="shared" si="77"/>
        <v>4480.0594606132472</v>
      </c>
      <c r="U38" s="465">
        <f t="shared" si="78"/>
        <v>19415.61350326211</v>
      </c>
      <c r="V38" s="3"/>
      <c r="W38" s="535">
        <f t="shared" si="79"/>
        <v>2028</v>
      </c>
      <c r="X38" s="948">
        <f t="shared" si="80"/>
        <v>12820.974637384072</v>
      </c>
      <c r="Y38" s="465">
        <f t="shared" si="81"/>
        <v>1429.6939059656322</v>
      </c>
      <c r="Z38" s="465">
        <f t="shared" si="82"/>
        <v>234.55354113759998</v>
      </c>
      <c r="AA38" s="465">
        <f t="shared" si="83"/>
        <v>4560.3287251503234</v>
      </c>
      <c r="AB38" s="986">
        <f t="shared" si="22"/>
        <v>19045.550809637629</v>
      </c>
      <c r="AC38" s="1206" t="str">
        <f>IF(OR('Recycling - Case 1'!AC108="No",'Recycling - Case 1'!T148="No"), "No", "Yes")</f>
        <v>No</v>
      </c>
      <c r="AD38" s="948">
        <f t="shared" si="84"/>
        <v>12820.974637384072</v>
      </c>
      <c r="AE38" s="465">
        <f t="shared" si="85"/>
        <v>1429.6939059656322</v>
      </c>
      <c r="AF38" s="465">
        <f t="shared" si="86"/>
        <v>234.55354113759998</v>
      </c>
      <c r="AG38" s="465">
        <f t="shared" si="87"/>
        <v>4560.3287251503234</v>
      </c>
      <c r="AH38" s="986">
        <f t="shared" si="60"/>
        <v>19045.550809637629</v>
      </c>
      <c r="AI38" s="1206" t="str">
        <f>IF(OR('Recycling - Case 1'!AI19="No",'Recycling - Case 1'!Z148="No"), "No", "Yes")</f>
        <v>Yes</v>
      </c>
      <c r="AJ38" s="948">
        <f t="shared" si="88"/>
        <v>12283.028562301317</v>
      </c>
      <c r="AK38" s="465">
        <f t="shared" si="89"/>
        <v>1429.6939059656322</v>
      </c>
      <c r="AL38" s="465">
        <f t="shared" si="90"/>
        <v>155.25457728774188</v>
      </c>
      <c r="AM38" s="465">
        <f t="shared" si="91"/>
        <v>5172.2095138882814</v>
      </c>
      <c r="AN38" s="986">
        <f t="shared" si="92"/>
        <v>19040.186559442973</v>
      </c>
      <c r="AO38" s="1201" t="str">
        <f>IF(OR('Recycling - Case 2'!AC108="No",'Recycling - Case 2'!T148="No"), "No", "Yes")</f>
        <v>No</v>
      </c>
      <c r="AP38" s="948">
        <f t="shared" si="93"/>
        <v>12283.028562301317</v>
      </c>
      <c r="AQ38" s="465">
        <f t="shared" si="94"/>
        <v>1429.6939059656322</v>
      </c>
      <c r="AR38" s="465">
        <f t="shared" si="95"/>
        <v>155.25457728774188</v>
      </c>
      <c r="AS38" s="465">
        <f t="shared" si="96"/>
        <v>5172.2095138882814</v>
      </c>
      <c r="AT38" s="986">
        <f t="shared" si="37"/>
        <v>19040.186559442973</v>
      </c>
      <c r="AU38" s="1206" t="str">
        <f>IF(OR('Recycling - Case 2'!AC108="No",'Recycling - Case 2'!T188="No"), "No", "Yes")</f>
        <v>No</v>
      </c>
      <c r="AV38" s="948">
        <f t="shared" si="63"/>
        <v>12283.410098294094</v>
      </c>
      <c r="AW38" s="465">
        <f t="shared" si="64"/>
        <v>868.28332059476827</v>
      </c>
      <c r="AX38" s="465">
        <f t="shared" si="65"/>
        <v>155.25457728774188</v>
      </c>
      <c r="AY38" s="465">
        <f t="shared" si="66"/>
        <v>5172.2095138882814</v>
      </c>
      <c r="AZ38" s="986">
        <f t="shared" si="67"/>
        <v>18479.157510064884</v>
      </c>
      <c r="BA38" s="1206" t="str">
        <f>IF(OR('Recycling - Case 3'!AC108="No",'Recycling - Case 3'!T148="No"), "No", "Yes")</f>
        <v>No</v>
      </c>
      <c r="BB38" s="948">
        <f t="shared" si="97"/>
        <v>12283.410098294094</v>
      </c>
      <c r="BC38" s="465">
        <f t="shared" si="98"/>
        <v>868.28332059476827</v>
      </c>
      <c r="BD38" s="465">
        <f t="shared" si="99"/>
        <v>155.25457728774188</v>
      </c>
      <c r="BE38" s="465">
        <f t="shared" si="100"/>
        <v>5172.2095138882814</v>
      </c>
      <c r="BF38" s="986">
        <f t="shared" si="47"/>
        <v>18479.157510064884</v>
      </c>
      <c r="BG38" s="1206" t="str">
        <f>IF(OR('Recycling - Case 3'!AC108="No",'Recycling - Case 3'!T188="No"), "No", "Yes")</f>
        <v>No</v>
      </c>
      <c r="BH38" s="535">
        <f t="shared" si="48"/>
        <v>2028</v>
      </c>
      <c r="BI38" s="465">
        <f>'Recycling - Case 1'!BV108</f>
        <v>95.976114890149461</v>
      </c>
      <c r="BJ38" s="100">
        <f>'Recycling - Case 1'!BW108</f>
        <v>0.52510668965462204</v>
      </c>
      <c r="BK38" s="986">
        <f>'Recycling - Case 1'!BX108</f>
        <v>47.264829111875663</v>
      </c>
      <c r="BL38" s="948">
        <f>'Recycling - Case 1'!BY108</f>
        <v>95.976114890149461</v>
      </c>
      <c r="BM38" s="100">
        <f>'Recycling - Case 1'!BZ108</f>
        <v>0.52510668965462204</v>
      </c>
      <c r="BN38" s="986">
        <f>'Recycling - Case 1'!CA108</f>
        <v>47.264829111875663</v>
      </c>
      <c r="BO38" s="465">
        <f>'Recycling - Case 2'!BV108</f>
        <v>93.896575258065937</v>
      </c>
      <c r="BP38" s="100">
        <f>'Recycling - Case 2'!BW108</f>
        <v>0.63378805685965334</v>
      </c>
      <c r="BQ38" s="986">
        <f>'Recycling - Case 2'!BX108</f>
        <v>47.264829111875663</v>
      </c>
      <c r="BR38" s="948">
        <f>'Recycling - Case 2'!BY108</f>
        <v>93.896575258065937</v>
      </c>
      <c r="BS38" s="100">
        <f>'Recycling - Case 2'!BZ108</f>
        <v>0.63378805685965334</v>
      </c>
      <c r="BT38" s="986">
        <f>'Recycling - Case 2'!CA108</f>
        <v>47.264829111875663</v>
      </c>
      <c r="BU38" s="465">
        <f>'Recycling - Case 3'!BV108</f>
        <v>93.896575258065937</v>
      </c>
      <c r="BV38" s="100">
        <f>'Recycling - Case 3'!BW108</f>
        <v>0.63378805685965334</v>
      </c>
      <c r="BW38" s="986">
        <f>'Recycling - Case 3'!BX108</f>
        <v>47.264829111875663</v>
      </c>
      <c r="BX38" s="948">
        <f>'Recycling - Case 3'!BY108</f>
        <v>93.896575258065937</v>
      </c>
      <c r="BY38" s="100">
        <f>'Recycling - Case 3'!BZ108</f>
        <v>0.63378805685965334</v>
      </c>
      <c r="BZ38" s="986">
        <f>'Recycling - Case 3'!CA108</f>
        <v>47.264829111875663</v>
      </c>
      <c r="CA38" s="535">
        <v>2028</v>
      </c>
      <c r="CB38" s="579">
        <f>'Recycling - Case 1'!CB108</f>
        <v>0.18787758011779954</v>
      </c>
      <c r="CC38" s="100">
        <f>'Recycling - Case 1'!CC108</f>
        <v>0.31454304981852543</v>
      </c>
      <c r="CD38" s="100">
        <f>'Recycling - Case 1'!CD108</f>
        <v>0.18787758011779954</v>
      </c>
      <c r="CE38" s="471">
        <f>'Recycling - Case 1'!CE108</f>
        <v>0.31454304981852543</v>
      </c>
      <c r="CF38" s="579">
        <f>'Recycling - Case 2'!CB108</f>
        <v>0.26366335378378059</v>
      </c>
      <c r="CG38" s="100">
        <f>'Recycling - Case 2'!CC108</f>
        <v>0.31454304981852543</v>
      </c>
      <c r="CH38" s="100">
        <f>'Recycling - Case 2'!CD108</f>
        <v>0.26366335378378059</v>
      </c>
      <c r="CI38" s="471">
        <f>'Recycling - Case 2'!CE108</f>
        <v>0.31454304981852543</v>
      </c>
      <c r="CJ38" s="579">
        <f>'Recycling - Case 3'!CB108</f>
        <v>0.26366335378378059</v>
      </c>
      <c r="CK38" s="100">
        <f>'Recycling - Case 3'!CC108</f>
        <v>0.31454304981852543</v>
      </c>
      <c r="CL38" s="100">
        <f>'Recycling - Case 3'!CD108</f>
        <v>0.26366335378378059</v>
      </c>
      <c r="CM38" s="471">
        <f>'Recycling - Case 3'!CE108</f>
        <v>0.31454304981852543</v>
      </c>
    </row>
    <row r="39" spans="1:91">
      <c r="A39">
        <f>'Input data'!A128</f>
        <v>2028</v>
      </c>
      <c r="C39" s="116">
        <f>'4A SWD Case 1'!BG98</f>
        <v>610.5226017801939</v>
      </c>
      <c r="D39" s="3">
        <f>'4B Biological treatment '!T92</f>
        <v>0.79295280419613556</v>
      </c>
      <c r="E39" s="152">
        <f>'4B Biological treatment '!U92</f>
        <v>35.6828761888261</v>
      </c>
      <c r="F39" s="152">
        <f>'4B Biological treatment '!W92</f>
        <v>2.1409725713295655</v>
      </c>
      <c r="G39" s="688">
        <f>'4C2 Open-burning '!R99</f>
        <v>24.643242655537975</v>
      </c>
      <c r="H39" s="688">
        <f>'4C2 Open-burning '!Z99</f>
        <v>8.2916966915329837</v>
      </c>
      <c r="I39" s="688">
        <f>'4C2 Open-burning '!AH99</f>
        <v>0.115434412773772</v>
      </c>
      <c r="J39" s="93">
        <f>'4D Wastewater treatment and dis'!AV136</f>
        <v>169.01903173407416</v>
      </c>
      <c r="K39" s="3">
        <f>'4D Wastewater treatment and dis'!AW136</f>
        <v>3.2610614797895683</v>
      </c>
      <c r="L39" s="465">
        <f t="shared" si="69"/>
        <v>12820.974637384072</v>
      </c>
      <c r="M39" s="688">
        <f t="shared" si="70"/>
        <v>16.652008888118846</v>
      </c>
      <c r="N39" s="465">
        <f t="shared" si="71"/>
        <v>1413.0418970775133</v>
      </c>
      <c r="O39" s="464">
        <f t="shared" si="72"/>
        <v>234.55354113759998</v>
      </c>
      <c r="P39" s="465">
        <f t="shared" si="73"/>
        <v>4560.3287251503234</v>
      </c>
      <c r="Q39" s="465">
        <f t="shared" si="74"/>
        <v>12820.974637384072</v>
      </c>
      <c r="R39" s="467">
        <f t="shared" si="75"/>
        <v>1429.6939059656322</v>
      </c>
      <c r="S39" s="464">
        <f t="shared" si="76"/>
        <v>234.55354113759998</v>
      </c>
      <c r="T39" s="465">
        <f t="shared" si="77"/>
        <v>4560.3287251503234</v>
      </c>
      <c r="U39" s="465">
        <f t="shared" si="78"/>
        <v>19045.550809637629</v>
      </c>
      <c r="V39" s="3"/>
      <c r="W39" s="535">
        <f t="shared" si="79"/>
        <v>2029</v>
      </c>
      <c r="X39" s="948">
        <f t="shared" si="80"/>
        <v>12390.169403660982</v>
      </c>
      <c r="Y39" s="465">
        <f t="shared" si="81"/>
        <v>1439.1176985175302</v>
      </c>
      <c r="Z39" s="465">
        <f t="shared" si="82"/>
        <v>221.70018656133303</v>
      </c>
      <c r="AA39" s="465">
        <f t="shared" si="83"/>
        <v>4641.7443708292039</v>
      </c>
      <c r="AB39" s="986">
        <f t="shared" si="22"/>
        <v>18692.73165956905</v>
      </c>
      <c r="AC39" s="1206" t="str">
        <f>IF(OR('Recycling - Case 1'!AC109="No",'Recycling - Case 1'!T149="No"), "No", "Yes")</f>
        <v>No</v>
      </c>
      <c r="AD39" s="948">
        <f t="shared" si="84"/>
        <v>12390.169403660982</v>
      </c>
      <c r="AE39" s="465">
        <f t="shared" si="85"/>
        <v>1439.1176985175302</v>
      </c>
      <c r="AF39" s="465">
        <f t="shared" si="86"/>
        <v>221.70018656133303</v>
      </c>
      <c r="AG39" s="465">
        <f t="shared" si="87"/>
        <v>4641.7443708292039</v>
      </c>
      <c r="AH39" s="986">
        <f t="shared" si="60"/>
        <v>18692.73165956905</v>
      </c>
      <c r="AI39" s="1206" t="str">
        <f>IF(OR('Recycling - Case 1'!AI20="No",'Recycling - Case 1'!Z149="No"), "No", "Yes")</f>
        <v>Yes</v>
      </c>
      <c r="AJ39" s="948">
        <f t="shared" si="88"/>
        <v>11820.734792124991</v>
      </c>
      <c r="AK39" s="465">
        <f t="shared" si="89"/>
        <v>1439.1176985175302</v>
      </c>
      <c r="AL39" s="465">
        <f t="shared" si="90"/>
        <v>142.1481547216269</v>
      </c>
      <c r="AM39" s="465">
        <f t="shared" si="91"/>
        <v>5315.8232520302154</v>
      </c>
      <c r="AN39" s="986">
        <f t="shared" si="92"/>
        <v>18717.823897394363</v>
      </c>
      <c r="AO39" s="1201" t="str">
        <f>IF(OR('Recycling - Case 2'!AC109="No",'Recycling - Case 2'!T149="No"), "No", "Yes")</f>
        <v>No</v>
      </c>
      <c r="AP39" s="948">
        <f t="shared" si="93"/>
        <v>11820.734792124991</v>
      </c>
      <c r="AQ39" s="465">
        <f t="shared" si="94"/>
        <v>1439.1176985175302</v>
      </c>
      <c r="AR39" s="465">
        <f t="shared" si="95"/>
        <v>142.1481547216269</v>
      </c>
      <c r="AS39" s="465">
        <f t="shared" si="96"/>
        <v>5315.8232520302154</v>
      </c>
      <c r="AT39" s="986">
        <f t="shared" si="37"/>
        <v>18717.823897394363</v>
      </c>
      <c r="AU39" s="1206" t="str">
        <f>IF(OR('Recycling - Case 2'!AC109="No",'Recycling - Case 2'!T189="No"), "No", "Yes")</f>
        <v>No</v>
      </c>
      <c r="AV39" s="948">
        <f t="shared" si="63"/>
        <v>11821.187995852166</v>
      </c>
      <c r="AW39" s="465">
        <f t="shared" si="64"/>
        <v>874.00658894991443</v>
      </c>
      <c r="AX39" s="465">
        <f t="shared" si="65"/>
        <v>142.1481547216269</v>
      </c>
      <c r="AY39" s="465">
        <f t="shared" si="66"/>
        <v>5315.8232520302154</v>
      </c>
      <c r="AZ39" s="986">
        <f t="shared" si="67"/>
        <v>18153.16599155392</v>
      </c>
      <c r="BA39" s="1206" t="str">
        <f>IF(OR('Recycling - Case 3'!AC109="No",'Recycling - Case 3'!T149="No"), "No", "Yes")</f>
        <v>No</v>
      </c>
      <c r="BB39" s="948">
        <f t="shared" si="97"/>
        <v>11821.187995852166</v>
      </c>
      <c r="BC39" s="465">
        <f t="shared" si="98"/>
        <v>874.00658894991443</v>
      </c>
      <c r="BD39" s="465">
        <f t="shared" si="99"/>
        <v>142.1481547216269</v>
      </c>
      <c r="BE39" s="465">
        <f t="shared" si="100"/>
        <v>5315.8232520302154</v>
      </c>
      <c r="BF39" s="986">
        <f t="shared" si="47"/>
        <v>18153.16599155392</v>
      </c>
      <c r="BG39" s="1206" t="str">
        <f>IF(OR('Recycling - Case 3'!AC109="No",'Recycling - Case 3'!T189="No"), "No", "Yes")</f>
        <v>No</v>
      </c>
      <c r="BH39" s="535">
        <f t="shared" si="48"/>
        <v>2029</v>
      </c>
      <c r="BI39" s="465">
        <f>'Recycling - Case 1'!BV109</f>
        <v>94.874180411535164</v>
      </c>
      <c r="BJ39" s="100">
        <f>'Recycling - Case 1'!BW109</f>
        <v>0.54253322011085781</v>
      </c>
      <c r="BK39" s="986">
        <f>'Recycling - Case 1'!BX109</f>
        <v>45.911028865820995</v>
      </c>
      <c r="BL39" s="948">
        <f>'Recycling - Case 1'!BY109</f>
        <v>94.874180411535164</v>
      </c>
      <c r="BM39" s="100">
        <f>'Recycling - Case 1'!BZ109</f>
        <v>0.54253322011085781</v>
      </c>
      <c r="BN39" s="986">
        <f>'Recycling - Case 1'!CA109</f>
        <v>45.911028865820995</v>
      </c>
      <c r="BO39" s="465">
        <f>'Recycling - Case 2'!BV109</f>
        <v>92.909216346454784</v>
      </c>
      <c r="BP39" s="100">
        <f>'Recycling - Case 2'!BW109</f>
        <v>0.65586115488388763</v>
      </c>
      <c r="BQ39" s="986">
        <f>'Recycling - Case 2'!BX109</f>
        <v>45.911028865820995</v>
      </c>
      <c r="BR39" s="948">
        <f>'Recycling - Case 2'!BY109</f>
        <v>92.909216346454784</v>
      </c>
      <c r="BS39" s="100">
        <f>'Recycling - Case 2'!BZ109</f>
        <v>0.65586115488388763</v>
      </c>
      <c r="BT39" s="986">
        <f>'Recycling - Case 2'!CA109</f>
        <v>45.911028865820995</v>
      </c>
      <c r="BU39" s="465">
        <f>'Recycling - Case 3'!BV109</f>
        <v>92.909216346454784</v>
      </c>
      <c r="BV39" s="100">
        <f>'Recycling - Case 3'!BW109</f>
        <v>0.65586115488388763</v>
      </c>
      <c r="BW39" s="986">
        <f>'Recycling - Case 3'!BX109</f>
        <v>45.911028865820995</v>
      </c>
      <c r="BX39" s="948">
        <f>'Recycling - Case 3'!BY109</f>
        <v>92.909216346454784</v>
      </c>
      <c r="BY39" s="100">
        <f>'Recycling - Case 3'!BZ109</f>
        <v>0.65586115488388763</v>
      </c>
      <c r="BZ39" s="986">
        <f>'Recycling - Case 3'!CA109</f>
        <v>45.911028865820995</v>
      </c>
      <c r="CA39" s="535">
        <v>2029</v>
      </c>
      <c r="CB39" s="579">
        <f>'Recycling - Case 1'!CB109</f>
        <v>0.20894363003364869</v>
      </c>
      <c r="CC39" s="100">
        <f>'Recycling - Case 1'!CC109</f>
        <v>0.32198423880985849</v>
      </c>
      <c r="CD39" s="100">
        <f>'Recycling - Case 1'!CD109</f>
        <v>0.20894363003364869</v>
      </c>
      <c r="CE39" s="471">
        <f>'Recycling - Case 1'!CE109</f>
        <v>0.32198423880985849</v>
      </c>
      <c r="CF39" s="579">
        <f>'Recycling - Case 2'!CB109</f>
        <v>0.27985563375052358</v>
      </c>
      <c r="CG39" s="100">
        <f>'Recycling - Case 2'!CC109</f>
        <v>0.32198423880985849</v>
      </c>
      <c r="CH39" s="100">
        <f>'Recycling - Case 2'!CD109</f>
        <v>0.27985563375052358</v>
      </c>
      <c r="CI39" s="471">
        <f>'Recycling - Case 2'!CE109</f>
        <v>0.32198423880985849</v>
      </c>
      <c r="CJ39" s="579">
        <f>'Recycling - Case 3'!CB109</f>
        <v>0.27985563375052358</v>
      </c>
      <c r="CK39" s="100">
        <f>'Recycling - Case 3'!CC109</f>
        <v>0.32198423880985849</v>
      </c>
      <c r="CL39" s="100">
        <f>'Recycling - Case 3'!CD109</f>
        <v>0.27985563375052358</v>
      </c>
      <c r="CM39" s="471">
        <f>'Recycling - Case 3'!CE109</f>
        <v>0.32198423880985849</v>
      </c>
    </row>
    <row r="40" spans="1:91">
      <c r="A40">
        <f>'Input data'!A129</f>
        <v>2029</v>
      </c>
      <c r="C40" s="116">
        <f>'4A SWD Case 1'!BG99</f>
        <v>590.00806684099916</v>
      </c>
      <c r="D40" s="3">
        <f>'4B Biological treatment '!T93</f>
        <v>0.79817953328759317</v>
      </c>
      <c r="E40" s="152">
        <f>'4B Biological treatment '!U93</f>
        <v>35.918078997941691</v>
      </c>
      <c r="F40" s="152">
        <f>'4B Biological treatment '!W93</f>
        <v>2.1550847398765014</v>
      </c>
      <c r="G40" s="688">
        <f>'4C2 Open-burning '!R100</f>
        <v>23.292811814782528</v>
      </c>
      <c r="H40" s="688">
        <f>'4C2 Open-burning '!Z100</f>
        <v>7.837318057562114</v>
      </c>
      <c r="I40" s="688">
        <f>'4C2 Open-burning '!AH100</f>
        <v>0.10910869528305192</v>
      </c>
      <c r="J40" s="93">
        <f>'4D Wastewater treatment and dis'!AV137</f>
        <v>172.42196436643172</v>
      </c>
      <c r="K40" s="3">
        <f>'4D Wastewater treatment and dis'!AW137</f>
        <v>3.2931713520456056</v>
      </c>
      <c r="L40" s="465">
        <f t="shared" si="69"/>
        <v>12390.169403660982</v>
      </c>
      <c r="M40" s="688">
        <f t="shared" si="70"/>
        <v>16.761770199039457</v>
      </c>
      <c r="N40" s="465">
        <f t="shared" si="71"/>
        <v>1422.3559283184909</v>
      </c>
      <c r="O40" s="464">
        <f t="shared" si="72"/>
        <v>221.70018656133303</v>
      </c>
      <c r="P40" s="465">
        <f t="shared" si="73"/>
        <v>4641.7443708292039</v>
      </c>
      <c r="Q40" s="465">
        <f t="shared" si="74"/>
        <v>12390.169403660982</v>
      </c>
      <c r="R40" s="467">
        <f t="shared" si="75"/>
        <v>1439.1176985175302</v>
      </c>
      <c r="S40" s="464">
        <f t="shared" si="76"/>
        <v>221.70018656133303</v>
      </c>
      <c r="T40" s="465">
        <f t="shared" si="77"/>
        <v>4641.7443708292039</v>
      </c>
      <c r="U40" s="465">
        <f t="shared" si="78"/>
        <v>18692.73165956905</v>
      </c>
      <c r="V40" s="3"/>
      <c r="W40" s="535">
        <f t="shared" si="79"/>
        <v>2030</v>
      </c>
      <c r="X40" s="948">
        <f t="shared" si="80"/>
        <v>11973.576620492506</v>
      </c>
      <c r="Y40" s="465">
        <f t="shared" si="81"/>
        <v>1448.5418992442292</v>
      </c>
      <c r="Z40" s="465">
        <f t="shared" si="82"/>
        <v>209.55929653855324</v>
      </c>
      <c r="AA40" s="465">
        <f t="shared" si="83"/>
        <v>4724.3211909055435</v>
      </c>
      <c r="AB40" s="986">
        <f t="shared" si="22"/>
        <v>18355.999007180832</v>
      </c>
      <c r="AC40" s="1206" t="str">
        <f>IF(OR('Recycling - Case 1'!AC110="No",'Recycling - Case 1'!T150="No"), "No", "Yes")</f>
        <v>No</v>
      </c>
      <c r="AD40" s="948">
        <f t="shared" si="84"/>
        <v>11973.576620492506</v>
      </c>
      <c r="AE40" s="465">
        <f t="shared" si="85"/>
        <v>1448.5418992442292</v>
      </c>
      <c r="AF40" s="465">
        <f t="shared" si="86"/>
        <v>209.55929653855324</v>
      </c>
      <c r="AG40" s="465">
        <f t="shared" si="87"/>
        <v>4724.3211909055435</v>
      </c>
      <c r="AH40" s="986">
        <f t="shared" si="60"/>
        <v>18355.999007180832</v>
      </c>
      <c r="AI40" s="1206" t="str">
        <f>IF(OR('Recycling - Case 1'!AI21="No",'Recycling - Case 1'!Z150="No"), "No", "Yes")</f>
        <v>Yes</v>
      </c>
      <c r="AJ40" s="948">
        <f t="shared" si="88"/>
        <v>11372.832716117027</v>
      </c>
      <c r="AK40" s="465">
        <f t="shared" si="89"/>
        <v>1448.5418992442292</v>
      </c>
      <c r="AL40" s="465">
        <f t="shared" si="90"/>
        <v>128.77351562592733</v>
      </c>
      <c r="AM40" s="465">
        <f t="shared" si="91"/>
        <v>5461.7637017393099</v>
      </c>
      <c r="AN40" s="986">
        <f t="shared" si="92"/>
        <v>18411.911832726495</v>
      </c>
      <c r="AO40" s="1201" t="str">
        <f>IF(OR('Recycling - Case 2'!AC110="No",'Recycling - Case 2'!T150="No"), "No", "Yes")</f>
        <v>No</v>
      </c>
      <c r="AP40" s="948">
        <f t="shared" si="93"/>
        <v>11372.832716117027</v>
      </c>
      <c r="AQ40" s="465">
        <f t="shared" si="94"/>
        <v>1448.5418992442292</v>
      </c>
      <c r="AR40" s="465">
        <f t="shared" si="95"/>
        <v>128.77351562592733</v>
      </c>
      <c r="AS40" s="465">
        <f t="shared" si="96"/>
        <v>5461.7637017393099</v>
      </c>
      <c r="AT40" s="986">
        <f t="shared" si="37"/>
        <v>18411.911832726495</v>
      </c>
      <c r="AU40" s="1206" t="str">
        <f>IF(OR('Recycling - Case 2'!AC110="No",'Recycling - Case 2'!T190="No"), "No", "Yes")</f>
        <v>No</v>
      </c>
      <c r="AV40" s="948">
        <f t="shared" si="63"/>
        <v>11373.362957616693</v>
      </c>
      <c r="AW40" s="465">
        <f t="shared" si="64"/>
        <v>879.73010519824209</v>
      </c>
      <c r="AX40" s="465">
        <f t="shared" si="65"/>
        <v>128.77351562592733</v>
      </c>
      <c r="AY40" s="465">
        <f t="shared" si="66"/>
        <v>5461.7637017393099</v>
      </c>
      <c r="AZ40" s="986">
        <f t="shared" si="67"/>
        <v>17843.630280180172</v>
      </c>
      <c r="BA40" s="1206" t="str">
        <f>IF(OR('Recycling - Case 3'!AC110="No",'Recycling - Case 3'!T150="No"), "No", "Yes")</f>
        <v>No</v>
      </c>
      <c r="BB40" s="948">
        <f t="shared" si="97"/>
        <v>11373.362957616693</v>
      </c>
      <c r="BC40" s="465">
        <f t="shared" si="98"/>
        <v>879.73010519824209</v>
      </c>
      <c r="BD40" s="465">
        <f t="shared" si="99"/>
        <v>128.77351562592733</v>
      </c>
      <c r="BE40" s="465">
        <f t="shared" si="100"/>
        <v>5461.7637017393099</v>
      </c>
      <c r="BF40" s="986">
        <f t="shared" si="47"/>
        <v>17843.630280180172</v>
      </c>
      <c r="BG40" s="1206" t="str">
        <f>IF(OR('Recycling - Case 3'!AC110="No",'Recycling - Case 3'!T190="No"), "No", "Yes")</f>
        <v>No</v>
      </c>
      <c r="BH40" s="535">
        <f t="shared" si="48"/>
        <v>2030</v>
      </c>
      <c r="BI40" s="465">
        <f>'Recycling - Case 1'!BV110</f>
        <v>92.264024091030194</v>
      </c>
      <c r="BJ40" s="100">
        <f>'Recycling - Case 1'!BW110</f>
        <v>0.56654741033564404</v>
      </c>
      <c r="BK40" s="986">
        <f>'Recycling - Case 1'!BX110</f>
        <v>43.025080542663964</v>
      </c>
      <c r="BL40" s="948">
        <f>'Recycling - Case 1'!BY110</f>
        <v>92.264024091030194</v>
      </c>
      <c r="BM40" s="100">
        <f>'Recycling - Case 1'!BZ110</f>
        <v>0.56654741033564404</v>
      </c>
      <c r="BN40" s="986">
        <f>'Recycling - Case 1'!CA110</f>
        <v>43.025080542663964</v>
      </c>
      <c r="BO40" s="465">
        <f>'Recycling - Case 2'!BV110</f>
        <v>90.390457433068079</v>
      </c>
      <c r="BP40" s="100">
        <f>'Recycling - Case 2'!BW110</f>
        <v>0.68235035725790982</v>
      </c>
      <c r="BQ40" s="986">
        <f>'Recycling - Case 2'!BX110</f>
        <v>43.025080542663964</v>
      </c>
      <c r="BR40" s="948">
        <f>'Recycling - Case 2'!BY110</f>
        <v>90.390457433068079</v>
      </c>
      <c r="BS40" s="100">
        <f>'Recycling - Case 2'!BZ110</f>
        <v>0.68235035725790982</v>
      </c>
      <c r="BT40" s="986">
        <f>'Recycling - Case 2'!CA110</f>
        <v>43.025080542663964</v>
      </c>
      <c r="BU40" s="465">
        <f>'Recycling - Case 3'!BV110</f>
        <v>90.390457433068079</v>
      </c>
      <c r="BV40" s="100">
        <f>'Recycling - Case 3'!BW110</f>
        <v>0.68235035725790982</v>
      </c>
      <c r="BW40" s="986">
        <f>'Recycling - Case 3'!BX110</f>
        <v>43.025080542663964</v>
      </c>
      <c r="BX40" s="948">
        <f>'Recycling - Case 3'!BY110</f>
        <v>90.390457433068079</v>
      </c>
      <c r="BY40" s="100">
        <f>'Recycling - Case 3'!BZ110</f>
        <v>0.68235035725790982</v>
      </c>
      <c r="BZ40" s="986">
        <f>'Recycling - Case 3'!CA110</f>
        <v>43.025080542663964</v>
      </c>
      <c r="CA40" s="535">
        <v>2030</v>
      </c>
      <c r="CB40" s="579">
        <f>'Recycling - Case 1'!CB110</f>
        <v>0.22882200098597416</v>
      </c>
      <c r="CC40" s="100">
        <f>'Recycling - Case 1'!CC110</f>
        <v>0.33416712207572952</v>
      </c>
      <c r="CD40" s="100">
        <f>'Recycling - Case 1'!CD110</f>
        <v>0.22882200098597416</v>
      </c>
      <c r="CE40" s="471">
        <f>'Recycling - Case 1'!CE110</f>
        <v>0.33416712207572952</v>
      </c>
      <c r="CF40" s="579">
        <f>'Recycling - Case 2'!CB110</f>
        <v>0.29577637461695849</v>
      </c>
      <c r="CG40" s="100">
        <f>'Recycling - Case 2'!CC110</f>
        <v>0.33416712207572952</v>
      </c>
      <c r="CH40" s="100">
        <f>'Recycling - Case 2'!CD110</f>
        <v>0.29577637461695849</v>
      </c>
      <c r="CI40" s="471">
        <f>'Recycling - Case 2'!CE110</f>
        <v>0.33416712207572952</v>
      </c>
      <c r="CJ40" s="579">
        <f>'Recycling - Case 3'!CB110</f>
        <v>0.29577637461695849</v>
      </c>
      <c r="CK40" s="100">
        <f>'Recycling - Case 3'!CC110</f>
        <v>0.33416712207572952</v>
      </c>
      <c r="CL40" s="100">
        <f>'Recycling - Case 3'!CD110</f>
        <v>0.29577637461695849</v>
      </c>
      <c r="CM40" s="471">
        <f>'Recycling - Case 3'!CE110</f>
        <v>0.33416712207572952</v>
      </c>
    </row>
    <row r="41" spans="1:91">
      <c r="A41">
        <f>'Input data'!A130</f>
        <v>2030</v>
      </c>
      <c r="C41" s="116">
        <f>'4A SWD Case 1'!BG100</f>
        <v>570.1703152615479</v>
      </c>
      <c r="D41" s="3">
        <f>'4B Biological treatment '!T94</f>
        <v>0.80340648876551801</v>
      </c>
      <c r="E41" s="152">
        <f>'4B Biological treatment '!U94</f>
        <v>36.15329199444831</v>
      </c>
      <c r="F41" s="152">
        <f>'4B Biological treatment '!W94</f>
        <v>2.1691975196668984</v>
      </c>
      <c r="G41" s="688">
        <f>'4C2 Open-burning '!R101</f>
        <v>22.017235682209698</v>
      </c>
      <c r="H41" s="688">
        <f>'4C2 Open-burning '!Z101</f>
        <v>7.4081257411899131</v>
      </c>
      <c r="I41" s="688">
        <f>'4C2 Open-burning '!AH101</f>
        <v>0.10313361384308185</v>
      </c>
      <c r="J41" s="93">
        <f>'4D Wastewater treatment and dis'!AV138</f>
        <v>175.87552377304826</v>
      </c>
      <c r="K41" s="3">
        <f>'4D Wastewater treatment and dis'!AW138</f>
        <v>3.3255973924888065</v>
      </c>
      <c r="L41" s="465">
        <f t="shared" si="69"/>
        <v>11973.576620492506</v>
      </c>
      <c r="M41" s="688">
        <f t="shared" si="70"/>
        <v>16.871536264075878</v>
      </c>
      <c r="N41" s="465">
        <f t="shared" si="71"/>
        <v>1431.6703629801532</v>
      </c>
      <c r="O41" s="464">
        <f t="shared" si="72"/>
        <v>209.55929653855324</v>
      </c>
      <c r="P41" s="465">
        <f t="shared" si="73"/>
        <v>4724.3211909055435</v>
      </c>
      <c r="Q41" s="465">
        <f t="shared" si="74"/>
        <v>11973.576620492506</v>
      </c>
      <c r="R41" s="467">
        <f t="shared" si="75"/>
        <v>1448.5418992442292</v>
      </c>
      <c r="S41" s="464">
        <f t="shared" si="76"/>
        <v>209.55929653855324</v>
      </c>
      <c r="T41" s="465">
        <f t="shared" si="77"/>
        <v>4724.3211909055435</v>
      </c>
      <c r="U41" s="465">
        <f t="shared" si="78"/>
        <v>18355.999007180832</v>
      </c>
      <c r="V41" s="3"/>
      <c r="W41" s="535">
        <f t="shared" si="79"/>
        <v>2031</v>
      </c>
      <c r="X41" s="948">
        <f t="shared" si="80"/>
        <v>11570.740672563817</v>
      </c>
      <c r="Y41" s="465">
        <f t="shared" si="81"/>
        <v>1459.5685836549499</v>
      </c>
      <c r="Z41" s="465">
        <f t="shared" si="82"/>
        <v>199.12484182484837</v>
      </c>
      <c r="AA41" s="465">
        <f t="shared" si="83"/>
        <v>4801.8266337074856</v>
      </c>
      <c r="AB41" s="986">
        <f t="shared" si="22"/>
        <v>18031.260731751099</v>
      </c>
      <c r="AC41" s="1206" t="str">
        <f>IF(OR('Recycling - Case 1'!AC111="No",'Recycling - Case 1'!T151="No"), "No", "Yes")</f>
        <v>No</v>
      </c>
      <c r="AD41" s="948">
        <f t="shared" si="84"/>
        <v>11570.740672563817</v>
      </c>
      <c r="AE41" s="465">
        <f t="shared" si="85"/>
        <v>1459.5685836549499</v>
      </c>
      <c r="AF41" s="465">
        <f t="shared" si="86"/>
        <v>199.12484182484837</v>
      </c>
      <c r="AG41" s="465">
        <f t="shared" si="87"/>
        <v>4801.8266337074856</v>
      </c>
      <c r="AH41" s="986">
        <f t="shared" si="60"/>
        <v>18031.260731751099</v>
      </c>
      <c r="AI41" s="1206" t="str">
        <f>IF(OR('Recycling - Case 1'!AI22="No",'Recycling - Case 1'!Z151="No"), "No", "Yes")</f>
        <v>Yes</v>
      </c>
      <c r="AJ41" s="948">
        <f t="shared" si="88"/>
        <v>10938.015874931243</v>
      </c>
      <c r="AK41" s="465">
        <f t="shared" si="89"/>
        <v>1459.5685836549499</v>
      </c>
      <c r="AL41" s="465">
        <f t="shared" si="90"/>
        <v>113.56951234567336</v>
      </c>
      <c r="AM41" s="465">
        <f t="shared" si="91"/>
        <v>5508.3758769951792</v>
      </c>
      <c r="AN41" s="986">
        <f t="shared" si="92"/>
        <v>18019.529847927046</v>
      </c>
      <c r="AO41" s="1201" t="str">
        <f>IF(OR('Recycling - Case 2'!AC111="No",'Recycling - Case 2'!T151="No"), "No", "Yes")</f>
        <v>No</v>
      </c>
      <c r="AP41" s="948">
        <f t="shared" si="93"/>
        <v>10938.015874931243</v>
      </c>
      <c r="AQ41" s="465">
        <f t="shared" si="94"/>
        <v>1459.5685836549499</v>
      </c>
      <c r="AR41" s="465">
        <f t="shared" si="95"/>
        <v>113.56951234567336</v>
      </c>
      <c r="AS41" s="465">
        <f t="shared" si="96"/>
        <v>5508.3758769951792</v>
      </c>
      <c r="AT41" s="986">
        <f t="shared" si="37"/>
        <v>18019.529847927046</v>
      </c>
      <c r="AU41" s="1206" t="str">
        <f>IF(OR('Recycling - Case 2'!AC111="No",'Recycling - Case 2'!T191="No"), "No", "Yes")</f>
        <v>No</v>
      </c>
      <c r="AV41" s="948">
        <f t="shared" si="63"/>
        <v>10938.628390354213</v>
      </c>
      <c r="AW41" s="465">
        <f t="shared" si="64"/>
        <v>886.4268436506768</v>
      </c>
      <c r="AX41" s="465">
        <f t="shared" si="65"/>
        <v>113.56951234567336</v>
      </c>
      <c r="AY41" s="465">
        <f t="shared" si="66"/>
        <v>5508.3758769951792</v>
      </c>
      <c r="AZ41" s="986">
        <f t="shared" si="67"/>
        <v>17447.000623345742</v>
      </c>
      <c r="BA41" s="1206" t="str">
        <f>IF(OR('Recycling - Case 3'!AC111="No",'Recycling - Case 3'!T151="No"), "No", "Yes")</f>
        <v>No</v>
      </c>
      <c r="BB41" s="948">
        <f t="shared" si="97"/>
        <v>10938.628390354213</v>
      </c>
      <c r="BC41" s="465">
        <f t="shared" si="98"/>
        <v>886.4268436506768</v>
      </c>
      <c r="BD41" s="465">
        <f t="shared" si="99"/>
        <v>113.56951234567336</v>
      </c>
      <c r="BE41" s="465">
        <f t="shared" si="100"/>
        <v>5508.3758769951792</v>
      </c>
      <c r="BF41" s="986">
        <f t="shared" si="47"/>
        <v>17447.000623345742</v>
      </c>
      <c r="BG41" s="1206" t="str">
        <f>IF(OR('Recycling - Case 3'!AC111="No",'Recycling - Case 3'!T191="No"), "No", "Yes")</f>
        <v>No</v>
      </c>
      <c r="BH41" s="535">
        <f t="shared" si="48"/>
        <v>2031</v>
      </c>
      <c r="BI41" s="465">
        <f>'Recycling - Case 1'!BV111</f>
        <v>91.145477887655204</v>
      </c>
      <c r="BJ41" s="100">
        <f>'Recycling - Case 1'!BW111</f>
        <v>0.57769724831666103</v>
      </c>
      <c r="BK41" s="986">
        <f>'Recycling - Case 1'!BX111</f>
        <v>41.478479110071355</v>
      </c>
      <c r="BL41" s="948">
        <f>'Recycling - Case 1'!BY111</f>
        <v>91.145477887655204</v>
      </c>
      <c r="BM41" s="100">
        <f>'Recycling - Case 1'!BZ111</f>
        <v>0.57769724831666103</v>
      </c>
      <c r="BN41" s="986">
        <f>'Recycling - Case 1'!CA111</f>
        <v>41.478479110071355</v>
      </c>
      <c r="BO41" s="465">
        <f>'Recycling - Case 2'!BV111</f>
        <v>89.171255684827301</v>
      </c>
      <c r="BP41" s="100">
        <f>'Recycling - Case 2'!BW111</f>
        <v>0.69216296780752284</v>
      </c>
      <c r="BQ41" s="986">
        <f>'Recycling - Case 2'!BX111</f>
        <v>41.478479110071355</v>
      </c>
      <c r="BR41" s="948">
        <f>'Recycling - Case 2'!BY111</f>
        <v>89.171255684827301</v>
      </c>
      <c r="BS41" s="100">
        <f>'Recycling - Case 2'!BZ111</f>
        <v>0.69216296780752284</v>
      </c>
      <c r="BT41" s="986">
        <f>'Recycling - Case 2'!CA111</f>
        <v>41.478479110071355</v>
      </c>
      <c r="BU41" s="465">
        <f>'Recycling - Case 3'!BV111</f>
        <v>89.171255684827301</v>
      </c>
      <c r="BV41" s="100">
        <f>'Recycling - Case 3'!BW111</f>
        <v>0.69216296780752284</v>
      </c>
      <c r="BW41" s="986">
        <f>'Recycling - Case 3'!BX111</f>
        <v>41.478479110071355</v>
      </c>
      <c r="BX41" s="948">
        <f>'Recycling - Case 3'!BY111</f>
        <v>89.171255684827301</v>
      </c>
      <c r="BY41" s="100">
        <f>'Recycling - Case 3'!BZ111</f>
        <v>0.69216296780752284</v>
      </c>
      <c r="BZ41" s="986">
        <f>'Recycling - Case 3'!CA111</f>
        <v>41.478479110071355</v>
      </c>
      <c r="CA41" s="535">
        <v>2031</v>
      </c>
      <c r="CB41" s="579">
        <f>'Recycling - Case 1'!CB111</f>
        <v>0.24572749882361522</v>
      </c>
      <c r="CC41" s="100">
        <f>'Recycling - Case 1'!CC111</f>
        <v>0.34284240625384033</v>
      </c>
      <c r="CD41" s="100">
        <f>'Recycling - Case 1'!CD111</f>
        <v>0.24572749882361522</v>
      </c>
      <c r="CE41" s="471">
        <f>'Recycling - Case 1'!CE111</f>
        <v>0.34284240625384033</v>
      </c>
      <c r="CF41" s="579">
        <f>'Recycling - Case 2'!CB111</f>
        <v>0.31568192095747505</v>
      </c>
      <c r="CG41" s="100">
        <f>'Recycling - Case 2'!CC111</f>
        <v>0.34284240625384033</v>
      </c>
      <c r="CH41" s="100">
        <f>'Recycling - Case 2'!CD111</f>
        <v>0.31568192095747505</v>
      </c>
      <c r="CI41" s="471">
        <f>'Recycling - Case 2'!CE111</f>
        <v>0.34284240625384033</v>
      </c>
      <c r="CJ41" s="579">
        <f>'Recycling - Case 3'!CB111</f>
        <v>0.31568192095747505</v>
      </c>
      <c r="CK41" s="100">
        <f>'Recycling - Case 3'!CC111</f>
        <v>0.34284240625384033</v>
      </c>
      <c r="CL41" s="100">
        <f>'Recycling - Case 3'!CD111</f>
        <v>0.31568192095747505</v>
      </c>
      <c r="CM41" s="471">
        <f>'Recycling - Case 3'!CE111</f>
        <v>0.34284240625384033</v>
      </c>
    </row>
    <row r="42" spans="1:91">
      <c r="A42">
        <f>'Input data'!A131</f>
        <v>2031</v>
      </c>
      <c r="C42" s="116">
        <f>'4A SWD Case 1'!BG101</f>
        <v>550.98765107446752</v>
      </c>
      <c r="D42" s="3">
        <f>'4B Biological treatment '!T95</f>
        <v>0.80952223164445369</v>
      </c>
      <c r="E42" s="152">
        <f>'4B Biological treatment '!U95</f>
        <v>36.428500424000418</v>
      </c>
      <c r="F42" s="152">
        <f>'4B Biological treatment '!W95</f>
        <v>2.185710025440025</v>
      </c>
      <c r="G42" s="688">
        <f>'4C2 Open-burning '!R102</f>
        <v>20.920945264930513</v>
      </c>
      <c r="H42" s="688">
        <f>'4C2 Open-burning '!Z102</f>
        <v>7.0392575791150502</v>
      </c>
      <c r="I42" s="688">
        <f>'4C2 Open-burning '!AH102</f>
        <v>9.7998346446780099E-2</v>
      </c>
      <c r="J42" s="93">
        <f>'4D Wastewater treatment and dis'!AV139</f>
        <v>179.14729338241924</v>
      </c>
      <c r="K42" s="3">
        <f>'4D Wastewater treatment and dis'!AW139</f>
        <v>3.3539789441183268</v>
      </c>
      <c r="L42" s="465">
        <f t="shared" si="69"/>
        <v>11570.740672563817</v>
      </c>
      <c r="M42" s="688">
        <f t="shared" si="70"/>
        <v>16.999966864533526</v>
      </c>
      <c r="N42" s="465">
        <f t="shared" si="71"/>
        <v>1442.5686167904164</v>
      </c>
      <c r="O42" s="464">
        <f t="shared" si="72"/>
        <v>199.12484182484837</v>
      </c>
      <c r="P42" s="465">
        <f t="shared" si="73"/>
        <v>4801.8266337074856</v>
      </c>
      <c r="Q42" s="465">
        <f t="shared" si="74"/>
        <v>11570.740672563817</v>
      </c>
      <c r="R42" s="467">
        <f t="shared" si="75"/>
        <v>1459.5685836549499</v>
      </c>
      <c r="S42" s="464">
        <f t="shared" si="76"/>
        <v>199.12484182484837</v>
      </c>
      <c r="T42" s="465">
        <f t="shared" si="77"/>
        <v>4801.8266337074856</v>
      </c>
      <c r="U42" s="465">
        <f t="shared" si="78"/>
        <v>18031.260731751099</v>
      </c>
      <c r="V42" s="3"/>
      <c r="W42" s="535">
        <f t="shared" si="79"/>
        <v>2032</v>
      </c>
      <c r="X42" s="948">
        <f t="shared" si="80"/>
        <v>11181.265569617397</v>
      </c>
      <c r="Y42" s="465">
        <f t="shared" si="81"/>
        <v>1471.2154449844763</v>
      </c>
      <c r="Z42" s="465">
        <f t="shared" si="82"/>
        <v>188.7479302250164</v>
      </c>
      <c r="AA42" s="465">
        <f t="shared" si="83"/>
        <v>4880.3108912879725</v>
      </c>
      <c r="AB42" s="986">
        <f t="shared" si="22"/>
        <v>17721.539836114862</v>
      </c>
      <c r="AC42" s="1206" t="str">
        <f>IF(OR('Recycling - Case 1'!AC112="No",'Recycling - Case 1'!T152="No"), "No", "Yes")</f>
        <v>No</v>
      </c>
      <c r="AD42" s="948">
        <f t="shared" si="84"/>
        <v>11181.265569617397</v>
      </c>
      <c r="AE42" s="465">
        <f t="shared" si="85"/>
        <v>1471.2154449844763</v>
      </c>
      <c r="AF42" s="465">
        <f t="shared" si="86"/>
        <v>188.7479302250164</v>
      </c>
      <c r="AG42" s="465">
        <f t="shared" si="87"/>
        <v>4880.3108912879725</v>
      </c>
      <c r="AH42" s="986">
        <f t="shared" si="60"/>
        <v>17721.539836114862</v>
      </c>
      <c r="AI42" s="1206" t="str">
        <f>IF(OR('Recycling - Case 1'!AI23="No",'Recycling - Case 1'!Z152="No"), "No", "Yes")</f>
        <v>Yes</v>
      </c>
      <c r="AJ42" s="948">
        <f t="shared" si="88"/>
        <v>10512.401699469703</v>
      </c>
      <c r="AK42" s="465">
        <f t="shared" si="89"/>
        <v>1471.2154449844763</v>
      </c>
      <c r="AL42" s="465">
        <f t="shared" si="90"/>
        <v>98.459981517794233</v>
      </c>
      <c r="AM42" s="465">
        <f t="shared" si="91"/>
        <v>5555.3858532180511</v>
      </c>
      <c r="AN42" s="986">
        <f t="shared" si="92"/>
        <v>17637.462979190022</v>
      </c>
      <c r="AO42" s="1201" t="str">
        <f>IF(OR('Recycling - Case 2'!AC112="No",'Recycling - Case 2'!T152="No"), "No", "Yes")</f>
        <v>No</v>
      </c>
      <c r="AP42" s="948">
        <f t="shared" si="93"/>
        <v>10512.401699469703</v>
      </c>
      <c r="AQ42" s="465">
        <f t="shared" si="94"/>
        <v>1471.2154449844763</v>
      </c>
      <c r="AR42" s="465">
        <f t="shared" si="95"/>
        <v>98.459981517794233</v>
      </c>
      <c r="AS42" s="465">
        <f t="shared" si="96"/>
        <v>5555.3858532180511</v>
      </c>
      <c r="AT42" s="986">
        <f t="shared" si="37"/>
        <v>17637.462979190022</v>
      </c>
      <c r="AU42" s="1206" t="str">
        <f>IF(OR('Recycling - Case 2'!AC112="No",'Recycling - Case 2'!T192="No"), "No", "Yes")</f>
        <v>No</v>
      </c>
      <c r="AV42" s="948">
        <f t="shared" si="63"/>
        <v>10513.092663232292</v>
      </c>
      <c r="AW42" s="465">
        <f t="shared" si="64"/>
        <v>893.50022865113783</v>
      </c>
      <c r="AX42" s="465">
        <f t="shared" si="65"/>
        <v>98.459981517794233</v>
      </c>
      <c r="AY42" s="465">
        <f t="shared" si="66"/>
        <v>5555.3858532180511</v>
      </c>
      <c r="AZ42" s="986">
        <f t="shared" si="67"/>
        <v>17060.438726619272</v>
      </c>
      <c r="BA42" s="1206" t="str">
        <f>IF(OR('Recycling - Case 3'!AC112="No",'Recycling - Case 3'!T152="No"), "No", "Yes")</f>
        <v>No</v>
      </c>
      <c r="BB42" s="948">
        <f t="shared" si="97"/>
        <v>10513.092663232292</v>
      </c>
      <c r="BC42" s="465">
        <f t="shared" si="98"/>
        <v>893.50022865113783</v>
      </c>
      <c r="BD42" s="465">
        <f t="shared" si="99"/>
        <v>98.459981517794233</v>
      </c>
      <c r="BE42" s="465">
        <f t="shared" si="100"/>
        <v>5555.3858532180511</v>
      </c>
      <c r="BF42" s="986">
        <f t="shared" si="47"/>
        <v>17060.438726619272</v>
      </c>
      <c r="BG42" s="1206" t="str">
        <f>IF(OR('Recycling - Case 3'!AC112="No",'Recycling - Case 3'!T192="No"), "No", "Yes")</f>
        <v>No</v>
      </c>
      <c r="BH42" s="535">
        <f t="shared" si="48"/>
        <v>2032</v>
      </c>
      <c r="BI42" s="465">
        <f>'Recycling - Case 1'!BV112</f>
        <v>91.392030945032616</v>
      </c>
      <c r="BJ42" s="100">
        <f>'Recycling - Case 1'!BW112</f>
        <v>0.58367631962804156</v>
      </c>
      <c r="BK42" s="986">
        <f>'Recycling - Case 1'!BX112</f>
        <v>41.25534595737377</v>
      </c>
      <c r="BL42" s="948">
        <f>'Recycling - Case 1'!BY112</f>
        <v>91.392030945032616</v>
      </c>
      <c r="BM42" s="100">
        <f>'Recycling - Case 1'!BZ112</f>
        <v>0.58367631962804156</v>
      </c>
      <c r="BN42" s="986">
        <f>'Recycling - Case 1'!CA112</f>
        <v>41.25534595737377</v>
      </c>
      <c r="BO42" s="465">
        <f>'Recycling - Case 2'!BV112</f>
        <v>89.317599611891666</v>
      </c>
      <c r="BP42" s="100">
        <f>'Recycling - Case 2'!BW112</f>
        <v>0.69790932595523925</v>
      </c>
      <c r="BQ42" s="986">
        <f>'Recycling - Case 2'!BX112</f>
        <v>41.25534595737377</v>
      </c>
      <c r="BR42" s="948">
        <f>'Recycling - Case 2'!BY112</f>
        <v>89.317599611891666</v>
      </c>
      <c r="BS42" s="100">
        <f>'Recycling - Case 2'!BZ112</f>
        <v>0.69790932595523925</v>
      </c>
      <c r="BT42" s="986">
        <f>'Recycling - Case 2'!CA112</f>
        <v>41.25534595737377</v>
      </c>
      <c r="BU42" s="465">
        <f>'Recycling - Case 3'!BV112</f>
        <v>89.317599611891666</v>
      </c>
      <c r="BV42" s="100">
        <f>'Recycling - Case 3'!BW112</f>
        <v>0.69790932595523925</v>
      </c>
      <c r="BW42" s="986">
        <f>'Recycling - Case 3'!BX112</f>
        <v>41.25534595737377</v>
      </c>
      <c r="BX42" s="948">
        <f>'Recycling - Case 3'!BY112</f>
        <v>89.317599611891666</v>
      </c>
      <c r="BY42" s="100">
        <f>'Recycling - Case 3'!BZ112</f>
        <v>0.69790932595523925</v>
      </c>
      <c r="BZ42" s="986">
        <f>'Recycling - Case 3'!CA112</f>
        <v>41.25534595737377</v>
      </c>
      <c r="CA42" s="535">
        <v>2032</v>
      </c>
      <c r="CB42" s="579">
        <f>'Recycling - Case 1'!CB112</f>
        <v>0.26236415346842734</v>
      </c>
      <c r="CC42" s="100">
        <f>'Recycling - Case 1'!CC112</f>
        <v>0.34737754235140295</v>
      </c>
      <c r="CD42" s="100">
        <f>'Recycling - Case 1'!CD112</f>
        <v>0.26236415346842734</v>
      </c>
      <c r="CE42" s="471">
        <f>'Recycling - Case 1'!CE112</f>
        <v>0.34737754235140295</v>
      </c>
      <c r="CF42" s="579">
        <f>'Recycling - Case 2'!CB112</f>
        <v>0.33524737223917422</v>
      </c>
      <c r="CG42" s="100">
        <f>'Recycling - Case 2'!CC112</f>
        <v>0.34737754235140295</v>
      </c>
      <c r="CH42" s="100">
        <f>'Recycling - Case 2'!CD112</f>
        <v>0.33524737223917422</v>
      </c>
      <c r="CI42" s="471">
        <f>'Recycling - Case 2'!CE112</f>
        <v>0.34737754235140295</v>
      </c>
      <c r="CJ42" s="579">
        <f>'Recycling - Case 3'!CB112</f>
        <v>0.33524737223917422</v>
      </c>
      <c r="CK42" s="100">
        <f>'Recycling - Case 3'!CC112</f>
        <v>0.34737754235140295</v>
      </c>
      <c r="CL42" s="100">
        <f>'Recycling - Case 3'!CD112</f>
        <v>0.33524737223917422</v>
      </c>
      <c r="CM42" s="471">
        <f>'Recycling - Case 3'!CE112</f>
        <v>0.34737754235140295</v>
      </c>
    </row>
    <row r="43" spans="1:91">
      <c r="A43">
        <f>'Input data'!A132</f>
        <v>2032</v>
      </c>
      <c r="C43" s="116">
        <f>'4A SWD Case 1'!BG102</f>
        <v>532.4412176008284</v>
      </c>
      <c r="D43" s="3">
        <f>'4B Biological treatment '!T96</f>
        <v>0.81598194397364199</v>
      </c>
      <c r="E43" s="152">
        <f>'4B Biological treatment '!U96</f>
        <v>36.719187478813879</v>
      </c>
      <c r="F43" s="152">
        <f>'4B Biological treatment '!W96</f>
        <v>2.2031512487288332</v>
      </c>
      <c r="G43" s="688">
        <f>'4C2 Open-burning '!R103</f>
        <v>19.830700584208724</v>
      </c>
      <c r="H43" s="688">
        <f>'4C2 Open-burning '!Z103</f>
        <v>6.6724236222992763</v>
      </c>
      <c r="I43" s="688">
        <f>'4C2 Open-burning '!AH103</f>
        <v>9.2891398621041524E-2</v>
      </c>
      <c r="J43" s="93">
        <f>'4D Wastewater treatment and dis'!AV140</f>
        <v>182.4620976517032</v>
      </c>
      <c r="K43" s="3">
        <f>'4D Wastewater treatment and dis'!AW140</f>
        <v>3.3826027116200144</v>
      </c>
      <c r="L43" s="465">
        <f t="shared" si="69"/>
        <v>11181.265569617397</v>
      </c>
      <c r="M43" s="688">
        <f t="shared" si="70"/>
        <v>17.13562082344648</v>
      </c>
      <c r="N43" s="465">
        <f t="shared" si="71"/>
        <v>1454.0798241610298</v>
      </c>
      <c r="O43" s="464">
        <f t="shared" si="72"/>
        <v>188.7479302250164</v>
      </c>
      <c r="P43" s="465">
        <f t="shared" si="73"/>
        <v>4880.3108912879725</v>
      </c>
      <c r="Q43" s="465">
        <f t="shared" si="74"/>
        <v>11181.265569617397</v>
      </c>
      <c r="R43" s="467">
        <f t="shared" si="75"/>
        <v>1471.2154449844763</v>
      </c>
      <c r="S43" s="464">
        <f t="shared" si="76"/>
        <v>188.7479302250164</v>
      </c>
      <c r="T43" s="465">
        <f t="shared" si="77"/>
        <v>4880.3108912879725</v>
      </c>
      <c r="U43" s="465">
        <f t="shared" si="78"/>
        <v>17721.539836114862</v>
      </c>
      <c r="V43" s="3"/>
      <c r="W43" s="535">
        <f t="shared" si="79"/>
        <v>2033</v>
      </c>
      <c r="X43" s="948">
        <f t="shared" si="80"/>
        <v>10804.347504345562</v>
      </c>
      <c r="Y43" s="465">
        <f t="shared" si="81"/>
        <v>1483.4367355720949</v>
      </c>
      <c r="Z43" s="465">
        <f t="shared" si="82"/>
        <v>178.42741871714372</v>
      </c>
      <c r="AA43" s="465">
        <f t="shared" si="83"/>
        <v>4959.7850255740987</v>
      </c>
      <c r="AB43" s="986">
        <f t="shared" si="22"/>
        <v>17425.996684208898</v>
      </c>
      <c r="AC43" s="1206" t="str">
        <f>IF(OR('Recycling - Case 1'!AC113="No",'Recycling - Case 1'!T153="No"), "No", "Yes")</f>
        <v>No</v>
      </c>
      <c r="AD43" s="948">
        <f t="shared" si="84"/>
        <v>10804.347504345562</v>
      </c>
      <c r="AE43" s="465">
        <f t="shared" si="85"/>
        <v>1483.4367355720949</v>
      </c>
      <c r="AF43" s="465">
        <f t="shared" si="86"/>
        <v>178.42741871714372</v>
      </c>
      <c r="AG43" s="465">
        <f t="shared" si="87"/>
        <v>4959.7850255740987</v>
      </c>
      <c r="AH43" s="986">
        <f t="shared" si="60"/>
        <v>17425.996684208898</v>
      </c>
      <c r="AI43" s="1206" t="str">
        <f>IF(OR('Recycling - Case 1'!AI24="No",'Recycling - Case 1'!Z153="No"), "No", "Yes")</f>
        <v>Yes</v>
      </c>
      <c r="AJ43" s="948">
        <f t="shared" si="88"/>
        <v>10095.492990191913</v>
      </c>
      <c r="AK43" s="465">
        <f t="shared" si="89"/>
        <v>1483.4367355720949</v>
      </c>
      <c r="AL43" s="465">
        <f t="shared" si="90"/>
        <v>98.168119205727166</v>
      </c>
      <c r="AM43" s="465">
        <f t="shared" si="91"/>
        <v>5602.7970253494477</v>
      </c>
      <c r="AN43" s="986">
        <f t="shared" si="92"/>
        <v>17279.894870319185</v>
      </c>
      <c r="AO43" s="1201" t="str">
        <f>IF(OR('Recycling - Case 2'!AC113="No",'Recycling - Case 2'!T153="No"), "No", "Yes")</f>
        <v>No</v>
      </c>
      <c r="AP43" s="948">
        <f t="shared" si="93"/>
        <v>10095.492990191913</v>
      </c>
      <c r="AQ43" s="465">
        <f t="shared" si="94"/>
        <v>1483.4367355720949</v>
      </c>
      <c r="AR43" s="465">
        <f t="shared" si="95"/>
        <v>98.168119205727166</v>
      </c>
      <c r="AS43" s="465">
        <f t="shared" si="96"/>
        <v>5602.7970253494477</v>
      </c>
      <c r="AT43" s="986">
        <f t="shared" si="37"/>
        <v>17279.894870319185</v>
      </c>
      <c r="AU43" s="1206" t="str">
        <f>IF(OR('Recycling - Case 2'!AC113="No",'Recycling - Case 2'!T193="No"), "No", "Yes")</f>
        <v>No</v>
      </c>
      <c r="AV43" s="948">
        <f t="shared" si="63"/>
        <v>10096.258807736416</v>
      </c>
      <c r="AW43" s="465">
        <f t="shared" si="64"/>
        <v>900.9224766785602</v>
      </c>
      <c r="AX43" s="465">
        <f t="shared" si="65"/>
        <v>98.168119205727166</v>
      </c>
      <c r="AY43" s="465">
        <f t="shared" si="66"/>
        <v>5602.7970253494477</v>
      </c>
      <c r="AZ43" s="986">
        <f t="shared" si="67"/>
        <v>16698.146428970154</v>
      </c>
      <c r="BA43" s="1206" t="str">
        <f>IF(OR('Recycling - Case 3'!AC113="No",'Recycling - Case 3'!T153="No"), "No", "Yes")</f>
        <v>No</v>
      </c>
      <c r="BB43" s="948">
        <f t="shared" si="97"/>
        <v>10096.258807736416</v>
      </c>
      <c r="BC43" s="465">
        <f t="shared" si="98"/>
        <v>900.9224766785602</v>
      </c>
      <c r="BD43" s="465">
        <f t="shared" si="99"/>
        <v>98.168119205727166</v>
      </c>
      <c r="BE43" s="465">
        <f t="shared" si="100"/>
        <v>5602.7970253494477</v>
      </c>
      <c r="BF43" s="986">
        <f t="shared" si="47"/>
        <v>16698.146428970154</v>
      </c>
      <c r="BG43" s="1206" t="str">
        <f>IF(OR('Recycling - Case 3'!AC113="No",'Recycling - Case 3'!T193="No"), "No", "Yes")</f>
        <v>No</v>
      </c>
      <c r="BH43" s="535">
        <f t="shared" si="48"/>
        <v>2033</v>
      </c>
      <c r="BI43" s="465">
        <f>'Recycling - Case 1'!BV113</f>
        <v>90.907693511541268</v>
      </c>
      <c r="BJ43" s="100">
        <f>'Recycling - Case 1'!BW113</f>
        <v>0.59309574242440988</v>
      </c>
      <c r="BK43" s="986">
        <f>'Recycling - Case 1'!BX113</f>
        <v>40.262688170007344</v>
      </c>
      <c r="BL43" s="948">
        <f>'Recycling - Case 1'!BY113</f>
        <v>90.907693511541268</v>
      </c>
      <c r="BM43" s="100">
        <f>'Recycling - Case 1'!BZ113</f>
        <v>0.59309574242440988</v>
      </c>
      <c r="BN43" s="986">
        <f>'Recycling - Case 1'!CA113</f>
        <v>40.262688170007344</v>
      </c>
      <c r="BO43" s="465">
        <f>'Recycling - Case 2'!BV113</f>
        <v>89.20128796609103</v>
      </c>
      <c r="BP43" s="100">
        <f>'Recycling - Case 2'!BW113</f>
        <v>0.70419239676867573</v>
      </c>
      <c r="BQ43" s="986">
        <f>'Recycling - Case 2'!BX113</f>
        <v>40.262688170007344</v>
      </c>
      <c r="BR43" s="948">
        <f>'Recycling - Case 2'!BY113</f>
        <v>89.20128796609103</v>
      </c>
      <c r="BS43" s="100">
        <f>'Recycling - Case 2'!BZ113</f>
        <v>0.70419239676867573</v>
      </c>
      <c r="BT43" s="986">
        <f>'Recycling - Case 2'!CA113</f>
        <v>40.262688170007344</v>
      </c>
      <c r="BU43" s="465">
        <f>'Recycling - Case 3'!BV113</f>
        <v>89.20128796609103</v>
      </c>
      <c r="BV43" s="100">
        <f>'Recycling - Case 3'!BW113</f>
        <v>0.70419239676867573</v>
      </c>
      <c r="BW43" s="986">
        <f>'Recycling - Case 3'!BX113</f>
        <v>40.262688170007344</v>
      </c>
      <c r="BX43" s="948">
        <f>'Recycling - Case 3'!BY113</f>
        <v>89.20128796609103</v>
      </c>
      <c r="BY43" s="100">
        <f>'Recycling - Case 3'!BZ113</f>
        <v>0.70419239676867573</v>
      </c>
      <c r="BZ43" s="986">
        <f>'Recycling - Case 3'!CA113</f>
        <v>40.262688170007344</v>
      </c>
      <c r="CA43" s="535">
        <v>2033</v>
      </c>
      <c r="CB43" s="579">
        <f>'Recycling - Case 1'!CB113</f>
        <v>0.27873582031809607</v>
      </c>
      <c r="CC43" s="100">
        <f>'Recycling - Case 1'!CC113</f>
        <v>0.35445223039388429</v>
      </c>
      <c r="CD43" s="100">
        <f>'Recycling - Case 1'!CD113</f>
        <v>0.27873582031809607</v>
      </c>
      <c r="CE43" s="471">
        <f>'Recycling - Case 1'!CE113</f>
        <v>0.35445223039388429</v>
      </c>
      <c r="CF43" s="579">
        <f>'Recycling - Case 2'!CB113</f>
        <v>0.33818146943254268</v>
      </c>
      <c r="CG43" s="100">
        <f>'Recycling - Case 2'!CC113</f>
        <v>0.35445223039388429</v>
      </c>
      <c r="CH43" s="100">
        <f>'Recycling - Case 2'!CD113</f>
        <v>0.33818146943254268</v>
      </c>
      <c r="CI43" s="471">
        <f>'Recycling - Case 2'!CE113</f>
        <v>0.35445223039388429</v>
      </c>
      <c r="CJ43" s="579">
        <f>'Recycling - Case 3'!CB113</f>
        <v>0.33818146943254268</v>
      </c>
      <c r="CK43" s="100">
        <f>'Recycling - Case 3'!CC113</f>
        <v>0.35445223039388429</v>
      </c>
      <c r="CL43" s="100">
        <f>'Recycling - Case 3'!CD113</f>
        <v>0.33818146943254268</v>
      </c>
      <c r="CM43" s="471">
        <f>'Recycling - Case 3'!CE113</f>
        <v>0.35445223039388429</v>
      </c>
    </row>
    <row r="44" spans="1:91">
      <c r="A44">
        <f>'Input data'!A133</f>
        <v>2033</v>
      </c>
      <c r="C44" s="116">
        <f>'4A SWD Case 1'!BG103</f>
        <v>514.49273830216964</v>
      </c>
      <c r="D44" s="3">
        <f>'4B Biological treatment '!T97</f>
        <v>0.82276025267448416</v>
      </c>
      <c r="E44" s="152">
        <f>'4B Biological treatment '!U97</f>
        <v>37.024211370351786</v>
      </c>
      <c r="F44" s="152">
        <f>'4B Biological treatment '!W97</f>
        <v>2.2214526822211074</v>
      </c>
      <c r="G44" s="688">
        <f>'4C2 Open-burning '!R104</f>
        <v>18.746381549056849</v>
      </c>
      <c r="H44" s="688">
        <f>'4C2 Open-burning '!Z104</f>
        <v>6.3075834638019295</v>
      </c>
      <c r="I44" s="688">
        <f>'4C2 Open-burning '!AH104</f>
        <v>8.7812207833052797E-2</v>
      </c>
      <c r="J44" s="93">
        <f>'4D Wastewater treatment and dis'!AV141</f>
        <v>185.8204328244677</v>
      </c>
      <c r="K44" s="3">
        <f>'4D Wastewater treatment and dis'!AW141</f>
        <v>3.4114707621299263</v>
      </c>
      <c r="L44" s="465">
        <f t="shared" si="69"/>
        <v>10804.347504345562</v>
      </c>
      <c r="M44" s="688">
        <f t="shared" si="70"/>
        <v>17.277965306164166</v>
      </c>
      <c r="N44" s="465">
        <f t="shared" si="71"/>
        <v>1466.1587702659308</v>
      </c>
      <c r="O44" s="464">
        <f t="shared" si="72"/>
        <v>178.42741871714372</v>
      </c>
      <c r="P44" s="465">
        <f t="shared" si="73"/>
        <v>4959.7850255740987</v>
      </c>
      <c r="Q44" s="465">
        <f t="shared" si="74"/>
        <v>10804.347504345562</v>
      </c>
      <c r="R44" s="467">
        <f t="shared" si="75"/>
        <v>1483.4367355720949</v>
      </c>
      <c r="S44" s="464">
        <f t="shared" si="76"/>
        <v>178.42741871714372</v>
      </c>
      <c r="T44" s="465">
        <f t="shared" si="77"/>
        <v>4959.7850255740987</v>
      </c>
      <c r="U44" s="465">
        <f t="shared" si="78"/>
        <v>17425.996684208898</v>
      </c>
      <c r="V44" s="3"/>
      <c r="W44" s="535">
        <f t="shared" si="79"/>
        <v>2034</v>
      </c>
      <c r="X44" s="948">
        <f t="shared" si="80"/>
        <v>10439.221766072465</v>
      </c>
      <c r="Y44" s="465">
        <f t="shared" si="81"/>
        <v>1497.2520829458686</v>
      </c>
      <c r="Z44" s="465">
        <f t="shared" si="82"/>
        <v>168.16219083511854</v>
      </c>
      <c r="AA44" s="465">
        <f t="shared" si="83"/>
        <v>5040.2602160131582</v>
      </c>
      <c r="AB44" s="986">
        <f t="shared" si="22"/>
        <v>17144.89625586661</v>
      </c>
      <c r="AC44" s="1206" t="str">
        <f>IF(OR('Recycling - Case 1'!AC114="No",'Recycling - Case 1'!T154="No"), "No", "Yes")</f>
        <v>No</v>
      </c>
      <c r="AD44" s="948">
        <f t="shared" si="84"/>
        <v>10439.221766072465</v>
      </c>
      <c r="AE44" s="465">
        <f t="shared" si="85"/>
        <v>1497.2520829458686</v>
      </c>
      <c r="AF44" s="465">
        <f t="shared" si="86"/>
        <v>168.16219083511854</v>
      </c>
      <c r="AG44" s="465">
        <f t="shared" si="87"/>
        <v>5040.2602160131582</v>
      </c>
      <c r="AH44" s="986">
        <f t="shared" si="60"/>
        <v>17144.89625586661</v>
      </c>
      <c r="AI44" s="1206" t="str">
        <f>IF(OR('Recycling - Case 1'!AI25="No",'Recycling - Case 1'!Z154="No"), "No", "Yes")</f>
        <v>Yes</v>
      </c>
      <c r="AJ44" s="948">
        <f t="shared" si="88"/>
        <v>9699.1602725925241</v>
      </c>
      <c r="AK44" s="465">
        <f t="shared" si="89"/>
        <v>1497.2520829458686</v>
      </c>
      <c r="AL44" s="465">
        <f t="shared" si="90"/>
        <v>97.880430060004471</v>
      </c>
      <c r="AM44" s="465">
        <f t="shared" si="91"/>
        <v>5650.6128173042498</v>
      </c>
      <c r="AN44" s="986">
        <f t="shared" si="92"/>
        <v>16944.905602902647</v>
      </c>
      <c r="AO44" s="1201" t="str">
        <f>IF(OR('Recycling - Case 2'!AC114="No",'Recycling - Case 2'!T154="No"), "No", "Yes")</f>
        <v>No</v>
      </c>
      <c r="AP44" s="948">
        <f t="shared" si="93"/>
        <v>9699.1602725925241</v>
      </c>
      <c r="AQ44" s="465">
        <f t="shared" si="94"/>
        <v>1497.2520829458686</v>
      </c>
      <c r="AR44" s="465">
        <f t="shared" si="95"/>
        <v>97.880430060004471</v>
      </c>
      <c r="AS44" s="465">
        <f t="shared" si="96"/>
        <v>5650.6128173042498</v>
      </c>
      <c r="AT44" s="986">
        <f t="shared" si="37"/>
        <v>16944.905602902647</v>
      </c>
      <c r="AU44" s="1206" t="str">
        <f>IF(OR('Recycling - Case 2'!AC114="No",'Recycling - Case 2'!T194="No"), "No", "Yes")</f>
        <v>No</v>
      </c>
      <c r="AV44" s="948">
        <f t="shared" si="63"/>
        <v>9699.9975670036711</v>
      </c>
      <c r="AW44" s="465">
        <f t="shared" si="64"/>
        <v>909.31282907694185</v>
      </c>
      <c r="AX44" s="465">
        <f t="shared" si="65"/>
        <v>97.880430060004471</v>
      </c>
      <c r="AY44" s="465">
        <f t="shared" si="66"/>
        <v>5650.6128173042498</v>
      </c>
      <c r="AZ44" s="986">
        <f t="shared" si="67"/>
        <v>16357.803643444866</v>
      </c>
      <c r="BA44" s="1206" t="str">
        <f>IF(OR('Recycling - Case 3'!AC114="No",'Recycling - Case 3'!T154="No"), "No", "Yes")</f>
        <v>No</v>
      </c>
      <c r="BB44" s="948">
        <f t="shared" si="97"/>
        <v>9699.9975670036711</v>
      </c>
      <c r="BC44" s="465">
        <f t="shared" si="98"/>
        <v>909.31282907694185</v>
      </c>
      <c r="BD44" s="465">
        <f t="shared" si="99"/>
        <v>97.880430060004471</v>
      </c>
      <c r="BE44" s="465">
        <f t="shared" si="100"/>
        <v>5650.6128173042498</v>
      </c>
      <c r="BF44" s="986">
        <f t="shared" si="47"/>
        <v>16357.803643444866</v>
      </c>
      <c r="BG44" s="1206" t="str">
        <f>IF(OR('Recycling - Case 3'!AC114="No",'Recycling - Case 3'!T194="No"), "No", "Yes")</f>
        <v>No</v>
      </c>
      <c r="BH44" s="535">
        <f t="shared" si="48"/>
        <v>2034</v>
      </c>
      <c r="BI44" s="465">
        <f>'Recycling - Case 1'!BV114</f>
        <v>90.914883340270251</v>
      </c>
      <c r="BJ44" s="100">
        <f>'Recycling - Case 1'!BW114</f>
        <v>0.60136590914713994</v>
      </c>
      <c r="BK44" s="986">
        <f>'Recycling - Case 1'!BX114</f>
        <v>39.6562597233914</v>
      </c>
      <c r="BL44" s="948">
        <f>'Recycling - Case 1'!BY114</f>
        <v>90.914883340270251</v>
      </c>
      <c r="BM44" s="100">
        <f>'Recycling - Case 1'!BZ114</f>
        <v>0.60136590914713994</v>
      </c>
      <c r="BN44" s="986">
        <f>'Recycling - Case 1'!CA114</f>
        <v>39.6562597233914</v>
      </c>
      <c r="BO44" s="465">
        <f>'Recycling - Case 2'!BV114</f>
        <v>89.576153887509733</v>
      </c>
      <c r="BP44" s="100">
        <f>'Recycling - Case 2'!BW114</f>
        <v>0.70949230346386294</v>
      </c>
      <c r="BQ44" s="986">
        <f>'Recycling - Case 2'!BX114</f>
        <v>39.6562597233914</v>
      </c>
      <c r="BR44" s="948">
        <f>'Recycling - Case 2'!BY114</f>
        <v>89.576153887509733</v>
      </c>
      <c r="BS44" s="100">
        <f>'Recycling - Case 2'!BZ114</f>
        <v>0.70949230346386294</v>
      </c>
      <c r="BT44" s="986">
        <f>'Recycling - Case 2'!CA114</f>
        <v>39.6562597233914</v>
      </c>
      <c r="BU44" s="465">
        <f>'Recycling - Case 3'!BV114</f>
        <v>89.576153887509733</v>
      </c>
      <c r="BV44" s="100">
        <f>'Recycling - Case 3'!BW114</f>
        <v>0.70949230346386294</v>
      </c>
      <c r="BW44" s="986">
        <f>'Recycling - Case 3'!BX114</f>
        <v>39.6562597233914</v>
      </c>
      <c r="BX44" s="948">
        <f>'Recycling - Case 3'!BY114</f>
        <v>89.576153887509733</v>
      </c>
      <c r="BY44" s="100">
        <f>'Recycling - Case 3'!BZ114</f>
        <v>0.70949230346386294</v>
      </c>
      <c r="BZ44" s="986">
        <f>'Recycling - Case 3'!CA114</f>
        <v>39.6562597233914</v>
      </c>
      <c r="CA44" s="535">
        <v>2034</v>
      </c>
      <c r="CB44" s="579">
        <f>'Recycling - Case 1'!CB114</f>
        <v>0.29484629303664733</v>
      </c>
      <c r="CC44" s="100">
        <f>'Recycling - Case 1'!CC114</f>
        <v>0.36061817011653774</v>
      </c>
      <c r="CD44" s="100">
        <f>'Recycling - Case 1'!CD114</f>
        <v>0.29484629303664733</v>
      </c>
      <c r="CE44" s="471">
        <f>'Recycling - Case 1'!CE114</f>
        <v>0.36061817011653774</v>
      </c>
      <c r="CF44" s="579">
        <f>'Recycling - Case 2'!CB114</f>
        <v>0.34108865163413971</v>
      </c>
      <c r="CG44" s="100">
        <f>'Recycling - Case 2'!CC114</f>
        <v>0.36061817011653796</v>
      </c>
      <c r="CH44" s="100">
        <f>'Recycling - Case 2'!CD114</f>
        <v>0.34108865163413971</v>
      </c>
      <c r="CI44" s="471">
        <f>'Recycling - Case 2'!CE114</f>
        <v>0.36061817011653796</v>
      </c>
      <c r="CJ44" s="579">
        <f>'Recycling - Case 3'!CB114</f>
        <v>0.34108865163413971</v>
      </c>
      <c r="CK44" s="100">
        <f>'Recycling - Case 3'!CC114</f>
        <v>0.36061817011653796</v>
      </c>
      <c r="CL44" s="100">
        <f>'Recycling - Case 3'!CD114</f>
        <v>0.34108865163413971</v>
      </c>
      <c r="CM44" s="471">
        <f>'Recycling - Case 3'!CE114</f>
        <v>0.36061817011653796</v>
      </c>
    </row>
    <row r="45" spans="1:91">
      <c r="A45">
        <f>'Input data'!A134</f>
        <v>2034</v>
      </c>
      <c r="C45" s="116">
        <f>'4A SWD Case 1'!BG104</f>
        <v>497.10579838440316</v>
      </c>
      <c r="D45" s="3">
        <f>'4B Biological treatment '!T98</f>
        <v>0.83042267495611144</v>
      </c>
      <c r="E45" s="152">
        <f>'4B Biological treatment '!U98</f>
        <v>37.369020373025009</v>
      </c>
      <c r="F45" s="152">
        <f>'4B Biological treatment '!W98</f>
        <v>2.2421412223815005</v>
      </c>
      <c r="G45" s="688">
        <f>'4C2 Open-burning '!R105</f>
        <v>17.667870858558523</v>
      </c>
      <c r="H45" s="688">
        <f>'4C2 Open-burning '!Z105</f>
        <v>5.9446976354558663</v>
      </c>
      <c r="I45" s="688">
        <f>'4C2 Open-burning '!AH105</f>
        <v>8.2760224619312345E-2</v>
      </c>
      <c r="J45" s="93">
        <f>'4D Wastewater treatment and dis'!AV142</f>
        <v>189.22280048005791</v>
      </c>
      <c r="K45" s="3">
        <f>'4D Wastewater treatment and dis'!AW142</f>
        <v>3.4405851804256198</v>
      </c>
      <c r="L45" s="465">
        <f t="shared" si="69"/>
        <v>10439.221766072465</v>
      </c>
      <c r="M45" s="688">
        <f t="shared" si="70"/>
        <v>17.438876174078342</v>
      </c>
      <c r="N45" s="465">
        <f t="shared" si="71"/>
        <v>1479.8132067717902</v>
      </c>
      <c r="O45" s="464">
        <f t="shared" si="72"/>
        <v>168.16219083511854</v>
      </c>
      <c r="P45" s="465">
        <f t="shared" si="73"/>
        <v>5040.2602160131582</v>
      </c>
      <c r="Q45" s="465">
        <f t="shared" si="74"/>
        <v>10439.221766072465</v>
      </c>
      <c r="R45" s="467">
        <f t="shared" si="75"/>
        <v>1497.2520829458686</v>
      </c>
      <c r="S45" s="464">
        <f t="shared" si="76"/>
        <v>168.16219083511854</v>
      </c>
      <c r="T45" s="465">
        <f t="shared" si="77"/>
        <v>5040.2602160131582</v>
      </c>
      <c r="U45" s="465">
        <f t="shared" si="78"/>
        <v>17144.89625586661</v>
      </c>
      <c r="V45" s="3"/>
      <c r="W45" s="535">
        <f t="shared" si="79"/>
        <v>2035</v>
      </c>
      <c r="X45" s="948">
        <f t="shared" si="80"/>
        <v>10085.160840689305</v>
      </c>
      <c r="Y45" s="465">
        <f t="shared" si="81"/>
        <v>1510.4261203686244</v>
      </c>
      <c r="Z45" s="465">
        <f t="shared" si="82"/>
        <v>157.95115591721603</v>
      </c>
      <c r="AA45" s="465">
        <f t="shared" si="83"/>
        <v>5121.7477607728442</v>
      </c>
      <c r="AB45" s="986">
        <f t="shared" si="22"/>
        <v>16875.285877747989</v>
      </c>
      <c r="AC45" s="1206" t="str">
        <f>IF(OR('Recycling - Case 1'!AC115="No",'Recycling - Case 1'!T155="No"), "No", "Yes")</f>
        <v>No</v>
      </c>
      <c r="AD45" s="948">
        <f t="shared" si="84"/>
        <v>10085.160840689305</v>
      </c>
      <c r="AE45" s="465">
        <f t="shared" si="85"/>
        <v>1510.4261203686244</v>
      </c>
      <c r="AF45" s="465">
        <f t="shared" si="86"/>
        <v>157.95115591721603</v>
      </c>
      <c r="AG45" s="465">
        <f t="shared" si="87"/>
        <v>5121.7477607728442</v>
      </c>
      <c r="AH45" s="986">
        <f t="shared" si="60"/>
        <v>16875.285877747989</v>
      </c>
      <c r="AI45" s="1206" t="str">
        <f>IF(OR('Recycling - Case 1'!AI26="No",'Recycling - Case 1'!Z155="No"), "No", "Yes")</f>
        <v>Yes</v>
      </c>
      <c r="AJ45" s="948">
        <f t="shared" si="88"/>
        <v>9322.4003422276965</v>
      </c>
      <c r="AK45" s="465">
        <f t="shared" si="89"/>
        <v>1510.4261203686244</v>
      </c>
      <c r="AL45" s="465">
        <f t="shared" si="90"/>
        <v>97.596835379073497</v>
      </c>
      <c r="AM45" s="465">
        <f t="shared" si="91"/>
        <v>5698.8366822179532</v>
      </c>
      <c r="AN45" s="986">
        <f t="shared" si="92"/>
        <v>16629.259980193347</v>
      </c>
      <c r="AO45" s="1201" t="str">
        <f>IF(OR('Recycling - Case 2'!AC115="No",'Recycling - Case 2'!T155="No"), "No", "Yes")</f>
        <v>No</v>
      </c>
      <c r="AP45" s="948">
        <f t="shared" si="93"/>
        <v>9322.4003422276965</v>
      </c>
      <c r="AQ45" s="465">
        <f t="shared" si="94"/>
        <v>1510.4261203686244</v>
      </c>
      <c r="AR45" s="465">
        <f t="shared" si="95"/>
        <v>97.596835379073497</v>
      </c>
      <c r="AS45" s="465">
        <f t="shared" si="96"/>
        <v>5698.8366822179532</v>
      </c>
      <c r="AT45" s="986">
        <f t="shared" si="37"/>
        <v>16629.259980193347</v>
      </c>
      <c r="AU45" s="1206" t="str">
        <f>IF(OR('Recycling - Case 2'!AC115="No",'Recycling - Case 2'!T195="No"), "No", "Yes")</f>
        <v>No</v>
      </c>
      <c r="AV45" s="948">
        <f t="shared" si="63"/>
        <v>9323.3059416290635</v>
      </c>
      <c r="AW45" s="465">
        <f t="shared" si="64"/>
        <v>917.31370039026274</v>
      </c>
      <c r="AX45" s="465">
        <f t="shared" si="65"/>
        <v>97.596835379073497</v>
      </c>
      <c r="AY45" s="465">
        <f t="shared" si="66"/>
        <v>5698.8366822179532</v>
      </c>
      <c r="AZ45" s="986">
        <f t="shared" si="67"/>
        <v>16037.053159616353</v>
      </c>
      <c r="BA45" s="1206" t="str">
        <f>IF(OR('Recycling - Case 3'!AC115="No",'Recycling - Case 3'!T155="No"), "No", "Yes")</f>
        <v>No</v>
      </c>
      <c r="BB45" s="948">
        <f t="shared" si="97"/>
        <v>9323.3059416290635</v>
      </c>
      <c r="BC45" s="465">
        <f t="shared" si="98"/>
        <v>917.31370039026274</v>
      </c>
      <c r="BD45" s="465">
        <f t="shared" si="99"/>
        <v>97.596835379073497</v>
      </c>
      <c r="BE45" s="465">
        <f t="shared" si="100"/>
        <v>5698.8366822179532</v>
      </c>
      <c r="BF45" s="986">
        <f t="shared" si="47"/>
        <v>16037.053159616353</v>
      </c>
      <c r="BG45" s="1206" t="str">
        <f>IF(OR('Recycling - Case 3'!AC115="No",'Recycling - Case 3'!T195="No"), "No", "Yes")</f>
        <v>No</v>
      </c>
      <c r="BH45" s="535">
        <f t="shared" si="48"/>
        <v>2035</v>
      </c>
      <c r="BI45" s="465">
        <f>'Recycling - Case 1'!BV115</f>
        <v>91.622677502711355</v>
      </c>
      <c r="BJ45" s="100">
        <f>'Recycling - Case 1'!BW115</f>
        <v>0.60614560495334957</v>
      </c>
      <c r="BK45" s="986">
        <f>'Recycling - Case 1'!BX115</f>
        <v>39.791303809178913</v>
      </c>
      <c r="BL45" s="948">
        <f>'Recycling - Case 1'!BY115</f>
        <v>91.622677502711355</v>
      </c>
      <c r="BM45" s="100">
        <f>'Recycling - Case 1'!BZ115</f>
        <v>0.60614560495334957</v>
      </c>
      <c r="BN45" s="986">
        <f>'Recycling - Case 1'!CA115</f>
        <v>39.791303809178913</v>
      </c>
      <c r="BO45" s="465">
        <f>'Recycling - Case 2'!BV115</f>
        <v>90.651284589796589</v>
      </c>
      <c r="BP45" s="100">
        <f>'Recycling - Case 2'!BW115</f>
        <v>0.71204391973020498</v>
      </c>
      <c r="BQ45" s="986">
        <f>'Recycling - Case 2'!BX115</f>
        <v>39.791303809178913</v>
      </c>
      <c r="BR45" s="948">
        <f>'Recycling - Case 2'!BY115</f>
        <v>90.651284589796589</v>
      </c>
      <c r="BS45" s="100">
        <f>'Recycling - Case 2'!BZ115</f>
        <v>0.71204391973020498</v>
      </c>
      <c r="BT45" s="986">
        <f>'Recycling - Case 2'!CA115</f>
        <v>39.791303809178913</v>
      </c>
      <c r="BU45" s="465">
        <f>'Recycling - Case 3'!BV115</f>
        <v>90.651284589796589</v>
      </c>
      <c r="BV45" s="100">
        <f>'Recycling - Case 3'!BW115</f>
        <v>0.71204391973020498</v>
      </c>
      <c r="BW45" s="986">
        <f>'Recycling - Case 3'!BX115</f>
        <v>39.791303809178913</v>
      </c>
      <c r="BX45" s="948">
        <f>'Recycling - Case 3'!BY115</f>
        <v>90.651284589796589</v>
      </c>
      <c r="BY45" s="100">
        <f>'Recycling - Case 3'!BZ115</f>
        <v>0.71204391973020498</v>
      </c>
      <c r="BZ45" s="986">
        <f>'Recycling - Case 3'!CA115</f>
        <v>39.791303809178913</v>
      </c>
      <c r="CA45" s="535">
        <v>2035</v>
      </c>
      <c r="CB45" s="579">
        <f>'Recycling - Case 1'!CB115</f>
        <v>0.31069930485615582</v>
      </c>
      <c r="CC45" s="100">
        <f>'Recycling - Case 1'!CC115</f>
        <v>0.36401779390258671</v>
      </c>
      <c r="CD45" s="100">
        <f>'Recycling - Case 1'!CD115</f>
        <v>0.31069930485615582</v>
      </c>
      <c r="CE45" s="471">
        <f>'Recycling - Case 1'!CE115</f>
        <v>0.36401779390258671</v>
      </c>
      <c r="CF45" s="579">
        <f>'Recycling - Case 2'!CB115</f>
        <v>0.34396919974586804</v>
      </c>
      <c r="CG45" s="100">
        <f>'Recycling - Case 2'!CC115</f>
        <v>0.36401779390258671</v>
      </c>
      <c r="CH45" s="100">
        <f>'Recycling - Case 2'!CD115</f>
        <v>0.34396919974586804</v>
      </c>
      <c r="CI45" s="471">
        <f>'Recycling - Case 2'!CE115</f>
        <v>0.36401779390258671</v>
      </c>
      <c r="CJ45" s="579">
        <f>'Recycling - Case 3'!CB115</f>
        <v>0.34396919974586804</v>
      </c>
      <c r="CK45" s="100">
        <f>'Recycling - Case 3'!CC115</f>
        <v>0.36401779390258671</v>
      </c>
      <c r="CL45" s="100">
        <f>'Recycling - Case 3'!CD115</f>
        <v>0.34396919974586804</v>
      </c>
      <c r="CM45" s="471">
        <f>'Recycling - Case 3'!CE115</f>
        <v>0.36401779390258671</v>
      </c>
    </row>
    <row r="46" spans="1:91">
      <c r="A46">
        <f>'Input data'!A135</f>
        <v>2035</v>
      </c>
      <c r="C46" s="116">
        <f>'4A SWD Case 1'!BG105</f>
        <v>480.24575431853833</v>
      </c>
      <c r="D46" s="3">
        <f>'4B Biological treatment '!T99</f>
        <v>0.83772940674909857</v>
      </c>
      <c r="E46" s="152">
        <f>'4B Biological treatment '!U99</f>
        <v>37.697823303709427</v>
      </c>
      <c r="F46" s="152">
        <f>'4B Biological treatment '!W99</f>
        <v>2.2618693982225659</v>
      </c>
      <c r="G46" s="688">
        <f>'4C2 Open-burning '!R106</f>
        <v>16.595053922921537</v>
      </c>
      <c r="H46" s="688">
        <f>'4C2 Open-burning '!Z106</f>
        <v>5.5837275813042186</v>
      </c>
      <c r="I46" s="688">
        <f>'4C2 Open-burning '!AH106</f>
        <v>7.773491221582543E-2</v>
      </c>
      <c r="J46" s="93">
        <f>'4D Wastewater treatment and dis'!AV143</f>
        <v>192.66970758852685</v>
      </c>
      <c r="K46" s="3">
        <f>'4D Wastewater treatment and dis'!AW143</f>
        <v>3.4699480690767106</v>
      </c>
      <c r="L46" s="465">
        <f t="shared" si="69"/>
        <v>10085.160840689305</v>
      </c>
      <c r="M46" s="688">
        <f t="shared" si="70"/>
        <v>17.59231754173107</v>
      </c>
      <c r="N46" s="465">
        <f t="shared" si="71"/>
        <v>1492.8338028268934</v>
      </c>
      <c r="O46" s="464">
        <f t="shared" si="72"/>
        <v>157.95115591721603</v>
      </c>
      <c r="P46" s="465">
        <f t="shared" si="73"/>
        <v>5121.7477607728442</v>
      </c>
      <c r="Q46" s="465">
        <f t="shared" si="74"/>
        <v>10085.160840689305</v>
      </c>
      <c r="R46" s="467">
        <f t="shared" si="75"/>
        <v>1510.4261203686244</v>
      </c>
      <c r="S46" s="464">
        <f t="shared" si="76"/>
        <v>157.95115591721603</v>
      </c>
      <c r="T46" s="465">
        <f t="shared" si="77"/>
        <v>5121.7477607728442</v>
      </c>
      <c r="U46" s="465">
        <f t="shared" si="78"/>
        <v>16875.285877747989</v>
      </c>
      <c r="V46" s="3"/>
      <c r="W46" s="535">
        <f t="shared" si="79"/>
        <v>2036</v>
      </c>
      <c r="X46" s="948">
        <f t="shared" si="80"/>
        <v>9741.4726030189322</v>
      </c>
      <c r="Y46" s="465">
        <f t="shared" si="81"/>
        <v>1524.4750425418231</v>
      </c>
      <c r="Z46" s="465">
        <f t="shared" si="82"/>
        <v>147.84395852682215</v>
      </c>
      <c r="AA46" s="465">
        <f t="shared" si="83"/>
        <v>5197.9991360271206</v>
      </c>
      <c r="AB46" s="986">
        <f t="shared" si="22"/>
        <v>16611.790740114699</v>
      </c>
      <c r="AC46" s="1206" t="str">
        <f>IF(OR('Recycling - Case 1'!AC116="No",'Recycling - Case 1'!T156="No"), "No", "Yes")</f>
        <v>No</v>
      </c>
      <c r="AD46" s="948">
        <f t="shared" si="84"/>
        <v>9741.4726030189322</v>
      </c>
      <c r="AE46" s="465">
        <f t="shared" si="85"/>
        <v>1524.4750425418231</v>
      </c>
      <c r="AF46" s="465">
        <f t="shared" si="86"/>
        <v>147.84395852682215</v>
      </c>
      <c r="AG46" s="465">
        <f t="shared" si="87"/>
        <v>5197.9991360271206</v>
      </c>
      <c r="AH46" s="986">
        <f t="shared" si="60"/>
        <v>16611.790740114699</v>
      </c>
      <c r="AI46" s="1206" t="str">
        <f>IF(OR('Recycling - Case 1'!AI27="No",'Recycling - Case 1'!Z156="No"), "No", "Yes")</f>
        <v>Yes</v>
      </c>
      <c r="AJ46" s="948">
        <f t="shared" si="88"/>
        <v>8964.2588793527611</v>
      </c>
      <c r="AK46" s="465">
        <f t="shared" si="89"/>
        <v>1524.4750425418231</v>
      </c>
      <c r="AL46" s="465">
        <f t="shared" si="90"/>
        <v>97.356613290882166</v>
      </c>
      <c r="AM46" s="465">
        <f t="shared" si="91"/>
        <v>5740.5587570983689</v>
      </c>
      <c r="AN46" s="986">
        <f t="shared" si="92"/>
        <v>16326.649292283833</v>
      </c>
      <c r="AO46" s="1201" t="str">
        <f>IF(OR('Recycling - Case 2'!AC116="No",'Recycling - Case 2'!T156="No"), "No", "Yes")</f>
        <v>No</v>
      </c>
      <c r="AP46" s="948">
        <f t="shared" si="93"/>
        <v>8964.2588793527611</v>
      </c>
      <c r="AQ46" s="465">
        <f t="shared" si="94"/>
        <v>1524.4750425418231</v>
      </c>
      <c r="AR46" s="465">
        <f t="shared" si="95"/>
        <v>97.356613290882166</v>
      </c>
      <c r="AS46" s="465">
        <f t="shared" si="96"/>
        <v>5740.5587570983689</v>
      </c>
      <c r="AT46" s="986">
        <f t="shared" si="37"/>
        <v>16326.649292283833</v>
      </c>
      <c r="AU46" s="1206" t="str">
        <f>IF(OR('Recycling - Case 2'!AC116="No",'Recycling - Case 2'!T196="No"), "No", "Yes")</f>
        <v>No</v>
      </c>
      <c r="AV46" s="948">
        <f t="shared" si="63"/>
        <v>8965.2298050377813</v>
      </c>
      <c r="AW46" s="465">
        <f t="shared" si="64"/>
        <v>925.8459077001088</v>
      </c>
      <c r="AX46" s="465">
        <f t="shared" si="65"/>
        <v>97.356613290882166</v>
      </c>
      <c r="AY46" s="465">
        <f t="shared" si="66"/>
        <v>5740.5587570983689</v>
      </c>
      <c r="AZ46" s="986">
        <f t="shared" si="67"/>
        <v>15728.991083127141</v>
      </c>
      <c r="BA46" s="1206" t="str">
        <f>IF(OR('Recycling - Case 3'!AC116="No",'Recycling - Case 3'!T156="No"), "No", "Yes")</f>
        <v>No</v>
      </c>
      <c r="BB46" s="948">
        <f t="shared" si="97"/>
        <v>8965.2298050377813</v>
      </c>
      <c r="BC46" s="465">
        <f t="shared" si="98"/>
        <v>925.8459077001088</v>
      </c>
      <c r="BD46" s="465">
        <f t="shared" si="99"/>
        <v>97.356613290882166</v>
      </c>
      <c r="BE46" s="465">
        <f t="shared" si="100"/>
        <v>5740.5587570983689</v>
      </c>
      <c r="BF46" s="986">
        <f t="shared" si="47"/>
        <v>15728.991083127141</v>
      </c>
      <c r="BG46" s="1206" t="str">
        <f>IF(OR('Recycling - Case 3'!AC116="No",'Recycling - Case 3'!T196="No"), "No", "Yes")</f>
        <v>No</v>
      </c>
      <c r="BH46" s="535">
        <f t="shared" si="48"/>
        <v>2036</v>
      </c>
      <c r="BI46" s="465">
        <f>'Recycling - Case 1'!BV116</f>
        <v>91.669221580523981</v>
      </c>
      <c r="BJ46" s="100">
        <f>'Recycling - Case 1'!BW116</f>
        <v>0.61424343080984689</v>
      </c>
      <c r="BK46" s="986">
        <f>'Recycling - Case 1'!BX116</f>
        <v>39.216082697226298</v>
      </c>
      <c r="BL46" s="948">
        <f>'Recycling - Case 1'!BY116</f>
        <v>91.669221580523981</v>
      </c>
      <c r="BM46" s="100">
        <f>'Recycling - Case 1'!BZ116</f>
        <v>0.61424343080984689</v>
      </c>
      <c r="BN46" s="986">
        <f>'Recycling - Case 1'!CA116</f>
        <v>39.216082697226298</v>
      </c>
      <c r="BO46" s="465">
        <f>'Recycling - Case 2'!BV116</f>
        <v>91.062791895379888</v>
      </c>
      <c r="BP46" s="100">
        <f>'Recycling - Case 2'!BW116</f>
        <v>0.7171352274777465</v>
      </c>
      <c r="BQ46" s="986">
        <f>'Recycling - Case 2'!BX116</f>
        <v>39.216082697226298</v>
      </c>
      <c r="BR46" s="948">
        <f>'Recycling - Case 2'!BY116</f>
        <v>91.062791895379888</v>
      </c>
      <c r="BS46" s="100">
        <f>'Recycling - Case 2'!BZ116</f>
        <v>0.7171352274777465</v>
      </c>
      <c r="BT46" s="986">
        <f>'Recycling - Case 2'!CA116</f>
        <v>39.216082697226298</v>
      </c>
      <c r="BU46" s="465">
        <f>'Recycling - Case 3'!BV116</f>
        <v>91.062791895379888</v>
      </c>
      <c r="BV46" s="100">
        <f>'Recycling - Case 3'!BW116</f>
        <v>0.7171352274777465</v>
      </c>
      <c r="BW46" s="986">
        <f>'Recycling - Case 3'!BX116</f>
        <v>39.216082697226298</v>
      </c>
      <c r="BX46" s="948">
        <f>'Recycling - Case 3'!BY116</f>
        <v>91.062791895379888</v>
      </c>
      <c r="BY46" s="100">
        <f>'Recycling - Case 3'!BZ116</f>
        <v>0.7171352274777465</v>
      </c>
      <c r="BZ46" s="986">
        <f>'Recycling - Case 3'!CA116</f>
        <v>39.216082697226298</v>
      </c>
      <c r="CA46" s="535">
        <v>2036</v>
      </c>
      <c r="CB46" s="579">
        <f>'Recycling - Case 1'!CB116</f>
        <v>0.32580167937132221</v>
      </c>
      <c r="CC46" s="100">
        <f>'Recycling - Case 1'!CC116</f>
        <v>0.3698209800126665</v>
      </c>
      <c r="CD46" s="100">
        <f>'Recycling - Case 1'!CD116</f>
        <v>0.32580167937132221</v>
      </c>
      <c r="CE46" s="471">
        <f>'Recycling - Case 1'!CE116</f>
        <v>0.3698209800126665</v>
      </c>
      <c r="CF46" s="579">
        <f>'Recycling - Case 2'!CB116</f>
        <v>0.34642074566368197</v>
      </c>
      <c r="CG46" s="100">
        <f>'Recycling - Case 2'!CC116</f>
        <v>0.3698209800126665</v>
      </c>
      <c r="CH46" s="100">
        <f>'Recycling - Case 2'!CD116</f>
        <v>0.34642074566368197</v>
      </c>
      <c r="CI46" s="471">
        <f>'Recycling - Case 2'!CE116</f>
        <v>0.3698209800126665</v>
      </c>
      <c r="CJ46" s="579">
        <f>'Recycling - Case 3'!CB116</f>
        <v>0.34642074566368197</v>
      </c>
      <c r="CK46" s="100">
        <f>'Recycling - Case 3'!CC116</f>
        <v>0.3698209800126665</v>
      </c>
      <c r="CL46" s="100">
        <f>'Recycling - Case 3'!CD116</f>
        <v>0.34642074566368197</v>
      </c>
      <c r="CM46" s="471">
        <f>'Recycling - Case 3'!CE116</f>
        <v>0.3698209800126665</v>
      </c>
    </row>
    <row r="47" spans="1:91">
      <c r="A47">
        <f>'Input data'!A136</f>
        <v>2036</v>
      </c>
      <c r="C47" s="116">
        <f>'4A SWD Case 1'!BG106</f>
        <v>463.87964776280631</v>
      </c>
      <c r="D47" s="3">
        <f>'4B Biological treatment '!T100</f>
        <v>0.84552137689507667</v>
      </c>
      <c r="E47" s="152">
        <f>'4B Biological treatment '!U100</f>
        <v>38.048461960278445</v>
      </c>
      <c r="F47" s="152">
        <f>'4B Biological treatment '!W100</f>
        <v>2.2829077176167067</v>
      </c>
      <c r="G47" s="688">
        <f>'4C2 Open-burning '!R107</f>
        <v>15.533146621710603</v>
      </c>
      <c r="H47" s="688">
        <f>'4C2 Open-burning '!Z107</f>
        <v>5.2264282851344142</v>
      </c>
      <c r="I47" s="688">
        <f>'4C2 Open-burning '!AH107</f>
        <v>7.2760702958996254E-2</v>
      </c>
      <c r="J47" s="93">
        <f>'4D Wastewater treatment and dis'!AV144</f>
        <v>195.92571354716031</v>
      </c>
      <c r="K47" s="3">
        <f>'4D Wastewater treatment and dis'!AW144</f>
        <v>3.4953521017314642</v>
      </c>
      <c r="L47" s="465">
        <f t="shared" si="69"/>
        <v>9741.4726030189322</v>
      </c>
      <c r="M47" s="688">
        <f t="shared" si="70"/>
        <v>17.755948914796612</v>
      </c>
      <c r="N47" s="465">
        <f t="shared" si="71"/>
        <v>1506.7190936270265</v>
      </c>
      <c r="O47" s="464">
        <f t="shared" si="72"/>
        <v>147.84395852682215</v>
      </c>
      <c r="P47" s="465">
        <f t="shared" si="73"/>
        <v>5197.9991360271206</v>
      </c>
      <c r="Q47" s="465">
        <f t="shared" si="74"/>
        <v>9741.4726030189322</v>
      </c>
      <c r="R47" s="467">
        <f t="shared" si="75"/>
        <v>1524.4750425418231</v>
      </c>
      <c r="S47" s="464">
        <f t="shared" si="76"/>
        <v>147.84395852682215</v>
      </c>
      <c r="T47" s="465">
        <f t="shared" si="77"/>
        <v>5197.9991360271206</v>
      </c>
      <c r="U47" s="465">
        <f t="shared" si="78"/>
        <v>16611.790740114699</v>
      </c>
      <c r="V47" s="3"/>
      <c r="W47" s="535">
        <f t="shared" si="79"/>
        <v>2037</v>
      </c>
      <c r="X47" s="948">
        <f t="shared" si="80"/>
        <v>9407.4499404480921</v>
      </c>
      <c r="Y47" s="465">
        <f t="shared" si="81"/>
        <v>1540.0010882532663</v>
      </c>
      <c r="Z47" s="465">
        <f t="shared" si="82"/>
        <v>144.25651033931339</v>
      </c>
      <c r="AA47" s="465">
        <f t="shared" si="83"/>
        <v>5275.0924855187541</v>
      </c>
      <c r="AB47" s="986">
        <f t="shared" si="22"/>
        <v>16366.800024559427</v>
      </c>
      <c r="AC47" s="1206" t="str">
        <f>IF(OR('Recycling - Case 1'!AC117="No",'Recycling - Case 1'!T157="No"), "No", "Yes")</f>
        <v>No</v>
      </c>
      <c r="AD47" s="948">
        <f t="shared" si="84"/>
        <v>9407.4499404480921</v>
      </c>
      <c r="AE47" s="465">
        <f t="shared" si="85"/>
        <v>1540.0010882532663</v>
      </c>
      <c r="AF47" s="465">
        <f t="shared" si="86"/>
        <v>144.25651033931339</v>
      </c>
      <c r="AG47" s="465">
        <f t="shared" si="87"/>
        <v>5275.0924855187541</v>
      </c>
      <c r="AH47" s="986">
        <f t="shared" si="60"/>
        <v>16366.800024559427</v>
      </c>
      <c r="AI47" s="1206" t="str">
        <f>IF(OR('Recycling - Case 1'!AI28="No",'Recycling - Case 1'!Z157="No"), "No", "Yes")</f>
        <v>Yes</v>
      </c>
      <c r="AJ47" s="948">
        <f t="shared" si="88"/>
        <v>8623.7876449373271</v>
      </c>
      <c r="AK47" s="465">
        <f t="shared" si="89"/>
        <v>1540.0010882532663</v>
      </c>
      <c r="AL47" s="465">
        <f t="shared" si="90"/>
        <v>97.11930396370947</v>
      </c>
      <c r="AM47" s="465">
        <f t="shared" si="91"/>
        <v>5782.5862858160108</v>
      </c>
      <c r="AN47" s="986">
        <f t="shared" si="92"/>
        <v>16043.494322970313</v>
      </c>
      <c r="AO47" s="1201" t="str">
        <f>IF(OR('Recycling - Case 2'!AC117="No",'Recycling - Case 2'!T157="No"), "No", "Yes")</f>
        <v>No</v>
      </c>
      <c r="AP47" s="948">
        <f t="shared" si="93"/>
        <v>8623.7876449373271</v>
      </c>
      <c r="AQ47" s="465">
        <f t="shared" si="94"/>
        <v>1540.0010882532663</v>
      </c>
      <c r="AR47" s="465">
        <f t="shared" si="95"/>
        <v>97.11930396370947</v>
      </c>
      <c r="AS47" s="465">
        <f t="shared" si="96"/>
        <v>5782.5862858160108</v>
      </c>
      <c r="AT47" s="986">
        <f t="shared" si="37"/>
        <v>16043.494322970313</v>
      </c>
      <c r="AU47" s="1206" t="str">
        <f>IF(OR('Recycling - Case 2'!AC117="No",'Recycling - Case 2'!T197="No"), "No", "Yes")</f>
        <v>No</v>
      </c>
      <c r="AV47" s="948">
        <f t="shared" si="63"/>
        <v>8624.8209569665196</v>
      </c>
      <c r="AW47" s="465">
        <f t="shared" si="64"/>
        <v>935.27520334848953</v>
      </c>
      <c r="AX47" s="465">
        <f t="shared" si="65"/>
        <v>97.11930396370947</v>
      </c>
      <c r="AY47" s="465">
        <f t="shared" si="66"/>
        <v>5782.5862858160108</v>
      </c>
      <c r="AZ47" s="986">
        <f t="shared" si="67"/>
        <v>15439.80175009473</v>
      </c>
      <c r="BA47" s="1206" t="str">
        <f>IF(OR('Recycling - Case 3'!AC117="No",'Recycling - Case 3'!T157="No"), "No", "Yes")</f>
        <v>No</v>
      </c>
      <c r="BB47" s="948">
        <f t="shared" si="97"/>
        <v>8624.8209569665196</v>
      </c>
      <c r="BC47" s="465">
        <f t="shared" si="98"/>
        <v>935.27520334848953</v>
      </c>
      <c r="BD47" s="465">
        <f t="shared" si="99"/>
        <v>97.11930396370947</v>
      </c>
      <c r="BE47" s="465">
        <f t="shared" si="100"/>
        <v>5782.5862858160108</v>
      </c>
      <c r="BF47" s="986">
        <f t="shared" si="47"/>
        <v>15439.80175009473</v>
      </c>
      <c r="BG47" s="1206" t="str">
        <f>IF(OR('Recycling - Case 3'!AC117="No",'Recycling - Case 3'!T197="No"), "No", "Yes")</f>
        <v>No</v>
      </c>
      <c r="BH47" s="535">
        <f t="shared" si="48"/>
        <v>2037</v>
      </c>
      <c r="BI47" s="465">
        <f>'Recycling - Case 1'!BV117</f>
        <v>91.731221681236903</v>
      </c>
      <c r="BJ47" s="100">
        <f>'Recycling - Case 1'!BW117</f>
        <v>0.62324158922585704</v>
      </c>
      <c r="BK47" s="986">
        <f>'Recycling - Case 1'!BX117</f>
        <v>38.325122850383927</v>
      </c>
      <c r="BL47" s="948">
        <f>'Recycling - Case 1'!BY117</f>
        <v>91.731221681236903</v>
      </c>
      <c r="BM47" s="100">
        <f>'Recycling - Case 1'!BZ117</f>
        <v>0.62324158922585704</v>
      </c>
      <c r="BN47" s="986">
        <f>'Recycling - Case 1'!CA117</f>
        <v>38.325122850383927</v>
      </c>
      <c r="BO47" s="465">
        <f>'Recycling - Case 2'!BV117</f>
        <v>91.255684395174598</v>
      </c>
      <c r="BP47" s="100">
        <f>'Recycling - Case 2'!BW117</f>
        <v>0.7235911365543789</v>
      </c>
      <c r="BQ47" s="986">
        <f>'Recycling - Case 2'!BX117</f>
        <v>38.325122850383927</v>
      </c>
      <c r="BR47" s="948">
        <f>'Recycling - Case 2'!BY117</f>
        <v>91.255684395174598</v>
      </c>
      <c r="BS47" s="100">
        <f>'Recycling - Case 2'!BZ117</f>
        <v>0.7235911365543789</v>
      </c>
      <c r="BT47" s="986">
        <f>'Recycling - Case 2'!CA117</f>
        <v>38.325122850383927</v>
      </c>
      <c r="BU47" s="465">
        <f>'Recycling - Case 3'!BV117</f>
        <v>91.255684395174598</v>
      </c>
      <c r="BV47" s="100">
        <f>'Recycling - Case 3'!BW117</f>
        <v>0.7235911365543789</v>
      </c>
      <c r="BW47" s="986">
        <f>'Recycling - Case 3'!BX117</f>
        <v>38.325122850383927</v>
      </c>
      <c r="BX47" s="948">
        <f>'Recycling - Case 3'!BY117</f>
        <v>91.255684395174598</v>
      </c>
      <c r="BY47" s="100">
        <f>'Recycling - Case 3'!BZ117</f>
        <v>0.7235911365543789</v>
      </c>
      <c r="BZ47" s="986">
        <f>'Recycling - Case 3'!CA117</f>
        <v>38.325122850383927</v>
      </c>
      <c r="CA47" s="535">
        <v>2037</v>
      </c>
      <c r="CB47" s="579">
        <f>'Recycling - Case 1'!CB117</f>
        <v>0.33280193124638935</v>
      </c>
      <c r="CC47" s="100">
        <f>'Recycling - Case 1'!CC117</f>
        <v>0.37688115895069452</v>
      </c>
      <c r="CD47" s="100">
        <f>'Recycling - Case 1'!CD117</f>
        <v>0.33280193124638935</v>
      </c>
      <c r="CE47" s="471">
        <f>'Recycling - Case 1'!CE117</f>
        <v>0.37688115895069452</v>
      </c>
      <c r="CF47" s="579">
        <f>'Recycling - Case 2'!CB117</f>
        <v>0.34885304461912336</v>
      </c>
      <c r="CG47" s="100">
        <f>'Recycling - Case 2'!CC117</f>
        <v>0.37688115895069452</v>
      </c>
      <c r="CH47" s="100">
        <f>'Recycling - Case 2'!CD117</f>
        <v>0.34885304461912336</v>
      </c>
      <c r="CI47" s="471">
        <f>'Recycling - Case 2'!CE117</f>
        <v>0.37688115895069452</v>
      </c>
      <c r="CJ47" s="579">
        <f>'Recycling - Case 3'!CB117</f>
        <v>0.34885304461912336</v>
      </c>
      <c r="CK47" s="100">
        <f>'Recycling - Case 3'!CC117</f>
        <v>0.37688115895069452</v>
      </c>
      <c r="CL47" s="100">
        <f>'Recycling - Case 3'!CD117</f>
        <v>0.34885304461912336</v>
      </c>
      <c r="CM47" s="471">
        <f>'Recycling - Case 3'!CE117</f>
        <v>0.37688115895069452</v>
      </c>
    </row>
    <row r="48" spans="1:91">
      <c r="A48">
        <f>'Input data'!A137</f>
        <v>2037</v>
      </c>
      <c r="C48" s="116">
        <f>'4A SWD Case 1'!BG107</f>
        <v>447.97380668800434</v>
      </c>
      <c r="D48" s="3">
        <f>'4B Biological treatment '!T101</f>
        <v>0.85413260579770744</v>
      </c>
      <c r="E48" s="152">
        <f>'4B Biological treatment '!U101</f>
        <v>38.435967260896831</v>
      </c>
      <c r="F48" s="152">
        <f>'4B Biological treatment '!W101</f>
        <v>2.3061580356538096</v>
      </c>
      <c r="G48" s="688">
        <f>'4C2 Open-burning '!R108</f>
        <v>15.156233291943034</v>
      </c>
      <c r="H48" s="688">
        <f>'4C2 Open-burning '!Z108</f>
        <v>5.0996084890096478</v>
      </c>
      <c r="I48" s="688">
        <f>'4C2 Open-burning '!AH108</f>
        <v>7.0995157348928195E-2</v>
      </c>
      <c r="J48" s="93">
        <f>'4D Wastewater treatment and dis'!AV145</f>
        <v>199.21906799623179</v>
      </c>
      <c r="K48" s="3">
        <f>'4D Wastewater treatment and dis'!AW145</f>
        <v>3.5209421212835057</v>
      </c>
      <c r="L48" s="465">
        <f t="shared" si="69"/>
        <v>9407.4499404480921</v>
      </c>
      <c r="M48" s="688">
        <f t="shared" si="70"/>
        <v>17.936784721751856</v>
      </c>
      <c r="N48" s="465">
        <f t="shared" si="71"/>
        <v>1522.0643035315145</v>
      </c>
      <c r="O48" s="464">
        <f t="shared" si="72"/>
        <v>144.25651033931339</v>
      </c>
      <c r="P48" s="465">
        <f t="shared" si="73"/>
        <v>5275.0924855187541</v>
      </c>
      <c r="Q48" s="465">
        <f t="shared" si="74"/>
        <v>9407.4499404480921</v>
      </c>
      <c r="R48" s="467">
        <f t="shared" si="75"/>
        <v>1540.0010882532663</v>
      </c>
      <c r="S48" s="464">
        <f t="shared" si="76"/>
        <v>144.25651033931339</v>
      </c>
      <c r="T48" s="465">
        <f t="shared" si="77"/>
        <v>5275.0924855187541</v>
      </c>
      <c r="U48" s="465">
        <f t="shared" si="78"/>
        <v>16366.800024559427</v>
      </c>
      <c r="V48" s="3"/>
      <c r="W48" s="535">
        <f t="shared" si="79"/>
        <v>2038</v>
      </c>
      <c r="X48" s="948">
        <f t="shared" si="80"/>
        <v>9088.1568433507146</v>
      </c>
      <c r="Y48" s="465">
        <f t="shared" si="81"/>
        <v>1554.7389266505122</v>
      </c>
      <c r="Z48" s="465">
        <f t="shared" si="82"/>
        <v>137.79108332877814</v>
      </c>
      <c r="AA48" s="465">
        <f t="shared" si="83"/>
        <v>5353.0360506752186</v>
      </c>
      <c r="AB48" s="986">
        <f t="shared" si="22"/>
        <v>16133.722904005224</v>
      </c>
      <c r="AC48" s="1206" t="str">
        <f>IF(OR('Recycling - Case 1'!AC118="No",'Recycling - Case 1'!T158="No"), "No", "Yes")</f>
        <v>No</v>
      </c>
      <c r="AD48" s="948">
        <f t="shared" si="84"/>
        <v>9088.1568433507146</v>
      </c>
      <c r="AE48" s="465">
        <f t="shared" si="85"/>
        <v>1554.7389266505122</v>
      </c>
      <c r="AF48" s="465">
        <f t="shared" si="86"/>
        <v>137.79108332877814</v>
      </c>
      <c r="AG48" s="465">
        <f t="shared" si="87"/>
        <v>5353.0360506752186</v>
      </c>
      <c r="AH48" s="986">
        <f t="shared" si="60"/>
        <v>16133.722904005224</v>
      </c>
      <c r="AI48" s="1206" t="str">
        <f>IF(OR('Recycling - Case 1'!AI29="No",'Recycling - Case 1'!Z158="No"), "No", "Yes")</f>
        <v>Yes</v>
      </c>
      <c r="AJ48" s="948">
        <f t="shared" si="88"/>
        <v>8300.1254720137076</v>
      </c>
      <c r="AK48" s="465">
        <f t="shared" si="89"/>
        <v>1554.7389266505122</v>
      </c>
      <c r="AL48" s="465">
        <f t="shared" si="90"/>
        <v>96.88486093946301</v>
      </c>
      <c r="AM48" s="465">
        <f t="shared" si="91"/>
        <v>5824.9215046462123</v>
      </c>
      <c r="AN48" s="986">
        <f t="shared" si="92"/>
        <v>15776.670764249895</v>
      </c>
      <c r="AO48" s="1201" t="str">
        <f>IF(OR('Recycling - Case 2'!AC118="No",'Recycling - Case 2'!T158="No"), "No", "Yes")</f>
        <v>No</v>
      </c>
      <c r="AP48" s="948">
        <f t="shared" si="93"/>
        <v>8300.1254720137076</v>
      </c>
      <c r="AQ48" s="465">
        <f t="shared" si="94"/>
        <v>1554.7389266505122</v>
      </c>
      <c r="AR48" s="465">
        <f t="shared" si="95"/>
        <v>96.88486093946301</v>
      </c>
      <c r="AS48" s="465">
        <f t="shared" si="96"/>
        <v>5824.9215046462123</v>
      </c>
      <c r="AT48" s="986">
        <f t="shared" si="37"/>
        <v>15776.670764249895</v>
      </c>
      <c r="AU48" s="1206" t="str">
        <f>IF(OR('Recycling - Case 2'!AC118="No",'Recycling - Case 2'!T198="No"), "No", "Yes")</f>
        <v>No</v>
      </c>
      <c r="AV48" s="948">
        <f t="shared" si="63"/>
        <v>8301.2184079845047</v>
      </c>
      <c r="AW48" s="465">
        <f t="shared" si="64"/>
        <v>944.22580403899644</v>
      </c>
      <c r="AX48" s="465">
        <f t="shared" si="65"/>
        <v>96.88486093946301</v>
      </c>
      <c r="AY48" s="465">
        <f t="shared" si="66"/>
        <v>5824.9215046462123</v>
      </c>
      <c r="AZ48" s="986">
        <f t="shared" si="67"/>
        <v>15167.250577609177</v>
      </c>
      <c r="BA48" s="1206" t="str">
        <f>IF(OR('Recycling - Case 3'!AC118="No",'Recycling - Case 3'!T158="No"), "No", "Yes")</f>
        <v>No</v>
      </c>
      <c r="BB48" s="948">
        <f t="shared" si="97"/>
        <v>8301.2184079845047</v>
      </c>
      <c r="BC48" s="465">
        <f t="shared" si="98"/>
        <v>944.22580403899644</v>
      </c>
      <c r="BD48" s="465">
        <f t="shared" si="99"/>
        <v>96.88486093946301</v>
      </c>
      <c r="BE48" s="465">
        <f t="shared" si="100"/>
        <v>5824.9215046462123</v>
      </c>
      <c r="BF48" s="986">
        <f t="shared" si="47"/>
        <v>15167.250577609177</v>
      </c>
      <c r="BG48" s="1206" t="str">
        <f>IF(OR('Recycling - Case 3'!AC118="No",'Recycling - Case 3'!T198="No"), "No", "Yes")</f>
        <v>No</v>
      </c>
      <c r="BH48" s="535">
        <f t="shared" si="48"/>
        <v>2038</v>
      </c>
      <c r="BI48" s="465">
        <f>'Recycling - Case 1'!BV118</f>
        <v>90.858992658624089</v>
      </c>
      <c r="BJ48" s="100">
        <f>'Recycling - Case 1'!BW118</f>
        <v>0.63616481765790334</v>
      </c>
      <c r="BK48" s="986">
        <f>'Recycling - Case 1'!BX118</f>
        <v>36.655559518641049</v>
      </c>
      <c r="BL48" s="948">
        <f>'Recycling - Case 1'!BY118</f>
        <v>90.858992658624089</v>
      </c>
      <c r="BM48" s="100">
        <f>'Recycling - Case 1'!BZ118</f>
        <v>0.63616481765790334</v>
      </c>
      <c r="BN48" s="986">
        <f>'Recycling - Case 1'!CA118</f>
        <v>36.655559518641049</v>
      </c>
      <c r="BO48" s="465">
        <f>'Recycling - Case 2'!BV118</f>
        <v>90.618980377352798</v>
      </c>
      <c r="BP48" s="100">
        <f>'Recycling - Case 2'!BW118</f>
        <v>0.7327034368880373</v>
      </c>
      <c r="BQ48" s="986">
        <f>'Recycling - Case 2'!BX118</f>
        <v>36.655559518641049</v>
      </c>
      <c r="BR48" s="948">
        <f>'Recycling - Case 2'!BY118</f>
        <v>90.618980377352798</v>
      </c>
      <c r="BS48" s="100">
        <f>'Recycling - Case 2'!BZ118</f>
        <v>0.7327034368880373</v>
      </c>
      <c r="BT48" s="986">
        <f>'Recycling - Case 2'!CA118</f>
        <v>36.655559518641049</v>
      </c>
      <c r="BU48" s="465">
        <f>'Recycling - Case 3'!BV118</f>
        <v>90.618980377352798</v>
      </c>
      <c r="BV48" s="100">
        <f>'Recycling - Case 3'!BW118</f>
        <v>0.7327034368880373</v>
      </c>
      <c r="BW48" s="986">
        <f>'Recycling - Case 3'!BX118</f>
        <v>36.655559518641049</v>
      </c>
      <c r="BX48" s="948">
        <f>'Recycling - Case 3'!BY118</f>
        <v>90.618980377352798</v>
      </c>
      <c r="BY48" s="100">
        <f>'Recycling - Case 3'!BZ118</f>
        <v>0.7327034368880373</v>
      </c>
      <c r="BZ48" s="986">
        <f>'Recycling - Case 3'!CA118</f>
        <v>36.655559518641049</v>
      </c>
      <c r="CA48" s="535">
        <v>2038</v>
      </c>
      <c r="CB48" s="579">
        <f>'Recycling - Case 1'!CB118</f>
        <v>0.3432238595609628</v>
      </c>
      <c r="CC48" s="100">
        <f>'Recycling - Case 1'!CC118</f>
        <v>0.38613740663076912</v>
      </c>
      <c r="CD48" s="100">
        <f>'Recycling - Case 1'!CD118</f>
        <v>0.3432238595609628</v>
      </c>
      <c r="CE48" s="471">
        <f>'Recycling - Case 1'!CE118</f>
        <v>0.38613740663076912</v>
      </c>
      <c r="CF48" s="579">
        <f>'Recycling - Case 2'!CB118</f>
        <v>0.35126626747362921</v>
      </c>
      <c r="CG48" s="100">
        <f>'Recycling - Case 2'!CC118</f>
        <v>0.38613740663076912</v>
      </c>
      <c r="CH48" s="100">
        <f>'Recycling - Case 2'!CD118</f>
        <v>0.35126626747362921</v>
      </c>
      <c r="CI48" s="471">
        <f>'Recycling - Case 2'!CE118</f>
        <v>0.38613740663076912</v>
      </c>
      <c r="CJ48" s="579">
        <f>'Recycling - Case 3'!CB118</f>
        <v>0.35126626747362921</v>
      </c>
      <c r="CK48" s="100">
        <f>'Recycling - Case 3'!CC118</f>
        <v>0.38613740663076912</v>
      </c>
      <c r="CL48" s="100">
        <f>'Recycling - Case 3'!CD118</f>
        <v>0.35126626747362921</v>
      </c>
      <c r="CM48" s="471">
        <f>'Recycling - Case 3'!CE118</f>
        <v>0.38613740663076912</v>
      </c>
    </row>
    <row r="49" spans="1:91">
      <c r="A49">
        <f>'Input data'!A138</f>
        <v>2038</v>
      </c>
      <c r="C49" s="116">
        <f>'4A SWD Case 1'!BG108</f>
        <v>432.76937349289119</v>
      </c>
      <c r="D49" s="3">
        <f>'4B Biological treatment '!T102</f>
        <v>0.862306670355248</v>
      </c>
      <c r="E49" s="152">
        <f>'4B Biological treatment '!U102</f>
        <v>38.803800165986161</v>
      </c>
      <c r="F49" s="152">
        <f>'4B Biological treatment '!W102</f>
        <v>2.3282280099591697</v>
      </c>
      <c r="G49" s="688">
        <f>'4C2 Open-burning '!R109</f>
        <v>14.476946652655759</v>
      </c>
      <c r="H49" s="688">
        <f>'4C2 Open-burning '!Z109</f>
        <v>4.8710493315030332</v>
      </c>
      <c r="I49" s="688">
        <f>'4C2 Open-burning '!AH109</f>
        <v>6.7813228111479648E-2</v>
      </c>
      <c r="J49" s="93">
        <f>'4D Wastewater treatment and dis'!AV146</f>
        <v>202.55014328428078</v>
      </c>
      <c r="K49" s="3">
        <f>'4D Wastewater treatment and dis'!AW146</f>
        <v>3.5467194893720086</v>
      </c>
      <c r="L49" s="465">
        <f t="shared" si="69"/>
        <v>9088.1568433507146</v>
      </c>
      <c r="M49" s="688">
        <f t="shared" si="70"/>
        <v>18.108440077460209</v>
      </c>
      <c r="N49" s="465">
        <f t="shared" si="71"/>
        <v>1536.6304865730519</v>
      </c>
      <c r="O49" s="464">
        <f t="shared" si="72"/>
        <v>137.79108332877814</v>
      </c>
      <c r="P49" s="465">
        <f t="shared" si="73"/>
        <v>5353.0360506752186</v>
      </c>
      <c r="Q49" s="465">
        <f t="shared" si="74"/>
        <v>9088.1568433507146</v>
      </c>
      <c r="R49" s="467">
        <f t="shared" si="75"/>
        <v>1554.7389266505122</v>
      </c>
      <c r="S49" s="464">
        <f t="shared" si="76"/>
        <v>137.79108332877814</v>
      </c>
      <c r="T49" s="465">
        <f t="shared" si="77"/>
        <v>5353.0360506752186</v>
      </c>
      <c r="U49" s="465">
        <f t="shared" si="78"/>
        <v>16133.722904005224</v>
      </c>
      <c r="V49" s="3"/>
      <c r="W49" s="535">
        <f t="shared" si="79"/>
        <v>2039</v>
      </c>
      <c r="X49" s="948">
        <f t="shared" si="80"/>
        <v>8780.2581012690935</v>
      </c>
      <c r="Y49" s="465">
        <f t="shared" si="81"/>
        <v>1569.5751876210604</v>
      </c>
      <c r="Z49" s="465">
        <f t="shared" si="82"/>
        <v>131.35405873525082</v>
      </c>
      <c r="AA49" s="465">
        <f t="shared" si="83"/>
        <v>5431.8381484682886</v>
      </c>
      <c r="AB49" s="986">
        <f t="shared" si="22"/>
        <v>15913.025496093693</v>
      </c>
      <c r="AC49" s="1206" t="str">
        <f>IF(OR('Recycling - Case 1'!AC119="No",'Recycling - Case 1'!T159="No"), "No", "Yes")</f>
        <v>No</v>
      </c>
      <c r="AD49" s="948">
        <f t="shared" si="84"/>
        <v>8780.2581012690935</v>
      </c>
      <c r="AE49" s="465">
        <f t="shared" si="85"/>
        <v>1569.5751876210604</v>
      </c>
      <c r="AF49" s="465">
        <f t="shared" si="86"/>
        <v>131.35405873525082</v>
      </c>
      <c r="AG49" s="465">
        <f t="shared" si="87"/>
        <v>5431.8381484682886</v>
      </c>
      <c r="AH49" s="986">
        <f t="shared" si="60"/>
        <v>15913.025496093693</v>
      </c>
      <c r="AI49" s="1206" t="str">
        <f>IF(OR('Recycling - Case 1'!AI30="No",'Recycling - Case 1'!Z159="No"), "No", "Yes")</f>
        <v>Yes</v>
      </c>
      <c r="AJ49" s="948">
        <f t="shared" si="88"/>
        <v>7992.4531378525389</v>
      </c>
      <c r="AK49" s="465">
        <f t="shared" si="89"/>
        <v>1569.5751876210604</v>
      </c>
      <c r="AL49" s="465">
        <f t="shared" si="90"/>
        <v>96.653238724891821</v>
      </c>
      <c r="AM49" s="465">
        <f t="shared" si="91"/>
        <v>5867.5666662364183</v>
      </c>
      <c r="AN49" s="986">
        <f t="shared" si="92"/>
        <v>15526.248230434909</v>
      </c>
      <c r="AO49" s="1201" t="str">
        <f>IF(OR('Recycling - Case 2'!AC119="No",'Recycling - Case 2'!T159="No"), "No", "Yes")</f>
        <v>No</v>
      </c>
      <c r="AP49" s="948">
        <f t="shared" si="93"/>
        <v>7992.4531378525389</v>
      </c>
      <c r="AQ49" s="465">
        <f t="shared" si="94"/>
        <v>1569.5751876210604</v>
      </c>
      <c r="AR49" s="465">
        <f t="shared" si="95"/>
        <v>96.653238724891821</v>
      </c>
      <c r="AS49" s="465">
        <f t="shared" si="96"/>
        <v>5867.5666662364183</v>
      </c>
      <c r="AT49" s="986">
        <f t="shared" si="37"/>
        <v>15526.248230434909</v>
      </c>
      <c r="AU49" s="1206" t="str">
        <f>IF(OR('Recycling - Case 2'!AC119="No",'Recycling - Case 2'!T199="No"), "No", "Yes")</f>
        <v>No</v>
      </c>
      <c r="AV49" s="948">
        <f t="shared" si="63"/>
        <v>7993.6031026066712</v>
      </c>
      <c r="AW49" s="465">
        <f t="shared" si="64"/>
        <v>953.23617883808151</v>
      </c>
      <c r="AX49" s="465">
        <f t="shared" si="65"/>
        <v>96.653238724891821</v>
      </c>
      <c r="AY49" s="465">
        <f t="shared" si="66"/>
        <v>5867.5666662364183</v>
      </c>
      <c r="AZ49" s="986">
        <f t="shared" si="67"/>
        <v>14911.059186406063</v>
      </c>
      <c r="BA49" s="1206" t="str">
        <f>IF(OR('Recycling - Case 3'!AC119="No",'Recycling - Case 3'!T159="No"), "No", "Yes")</f>
        <v>No</v>
      </c>
      <c r="BB49" s="948">
        <f t="shared" si="97"/>
        <v>7993.6031026066712</v>
      </c>
      <c r="BC49" s="465">
        <f t="shared" si="98"/>
        <v>953.23617883808151</v>
      </c>
      <c r="BD49" s="465">
        <f t="shared" si="99"/>
        <v>96.653238724891821</v>
      </c>
      <c r="BE49" s="465">
        <f t="shared" si="100"/>
        <v>5867.5666662364183</v>
      </c>
      <c r="BF49" s="986">
        <f t="shared" si="47"/>
        <v>14911.059186406063</v>
      </c>
      <c r="BG49" s="1206" t="str">
        <f>IF(OR('Recycling - Case 3'!AC119="No",'Recycling - Case 3'!T199="No"), "No", "Yes")</f>
        <v>No</v>
      </c>
      <c r="BH49" s="535">
        <f t="shared" si="48"/>
        <v>2039</v>
      </c>
      <c r="BI49" s="465">
        <f>'Recycling - Case 1'!BV119</f>
        <v>89.993891799431111</v>
      </c>
      <c r="BJ49" s="100">
        <f>'Recycling - Case 1'!BW119</f>
        <v>0.64936634706195184</v>
      </c>
      <c r="BK49" s="986">
        <f>'Recycling - Case 1'!BX119</f>
        <v>34.985996186898177</v>
      </c>
      <c r="BL49" s="948">
        <f>'Recycling - Case 1'!BY119</f>
        <v>89.993891799431111</v>
      </c>
      <c r="BM49" s="100">
        <f>'Recycling - Case 1'!BZ119</f>
        <v>0.64936634706195184</v>
      </c>
      <c r="BN49" s="986">
        <f>'Recycling - Case 1'!CA119</f>
        <v>34.985996186898177</v>
      </c>
      <c r="BO49" s="465">
        <f>'Recycling - Case 2'!BV119</f>
        <v>89.98925965194293</v>
      </c>
      <c r="BP49" s="100">
        <f>'Recycling - Case 2'!BW119</f>
        <v>0.74196471780807993</v>
      </c>
      <c r="BQ49" s="986">
        <f>'Recycling - Case 2'!BX119</f>
        <v>34.985996186898177</v>
      </c>
      <c r="BR49" s="948">
        <f>'Recycling - Case 2'!BY119</f>
        <v>89.98925965194293</v>
      </c>
      <c r="BS49" s="100">
        <f>'Recycling - Case 2'!BZ119</f>
        <v>0.74196471780807993</v>
      </c>
      <c r="BT49" s="986">
        <f>'Recycling - Case 2'!CA119</f>
        <v>34.985996186898177</v>
      </c>
      <c r="BU49" s="465">
        <f>'Recycling - Case 3'!BV119</f>
        <v>89.98925965194293</v>
      </c>
      <c r="BV49" s="100">
        <f>'Recycling - Case 3'!BW119</f>
        <v>0.74196471780807993</v>
      </c>
      <c r="BW49" s="986">
        <f>'Recycling - Case 3'!BX119</f>
        <v>34.985996186898177</v>
      </c>
      <c r="BX49" s="948">
        <f>'Recycling - Case 3'!BY119</f>
        <v>89.98925965194293</v>
      </c>
      <c r="BY49" s="100">
        <f>'Recycling - Case 3'!BZ119</f>
        <v>0.74196471780807993</v>
      </c>
      <c r="BZ49" s="986">
        <f>'Recycling - Case 3'!CA119</f>
        <v>34.985996186898177</v>
      </c>
      <c r="CA49" s="535">
        <v>2039</v>
      </c>
      <c r="CB49" s="579">
        <f>'Recycling - Case 1'!CB119</f>
        <v>0.35350649570399229</v>
      </c>
      <c r="CC49" s="100">
        <f>'Recycling - Case 1'!CC119</f>
        <v>0.39532290274769877</v>
      </c>
      <c r="CD49" s="100">
        <f>'Recycling - Case 1'!CD119</f>
        <v>0.35350649570399229</v>
      </c>
      <c r="CE49" s="471">
        <f>'Recycling - Case 1'!CE119</f>
        <v>0.39532290274769877</v>
      </c>
      <c r="CF49" s="579">
        <f>'Recycling - Case 2'!CB119</f>
        <v>0.35366058307858594</v>
      </c>
      <c r="CG49" s="100">
        <f>'Recycling - Case 2'!CC119</f>
        <v>0.39532290274769877</v>
      </c>
      <c r="CH49" s="100">
        <f>'Recycling - Case 2'!CD119</f>
        <v>0.35366058307858594</v>
      </c>
      <c r="CI49" s="471">
        <f>'Recycling - Case 2'!CE119</f>
        <v>0.39532290274769877</v>
      </c>
      <c r="CJ49" s="579">
        <f>'Recycling - Case 3'!CB119</f>
        <v>0.35366058307858594</v>
      </c>
      <c r="CK49" s="100">
        <f>'Recycling - Case 3'!CC119</f>
        <v>0.39532290274769877</v>
      </c>
      <c r="CL49" s="100">
        <f>'Recycling - Case 3'!CD119</f>
        <v>0.35366058307858594</v>
      </c>
      <c r="CM49" s="471">
        <f>'Recycling - Case 3'!CE119</f>
        <v>0.39532290274769877</v>
      </c>
    </row>
    <row r="50" spans="1:91">
      <c r="A50">
        <f>'Input data'!A139</f>
        <v>2039</v>
      </c>
      <c r="C50" s="116">
        <f>'4A SWD Case 1'!BG109</f>
        <v>418.10752863186161</v>
      </c>
      <c r="D50" s="3">
        <f>'4B Biological treatment '!T103</f>
        <v>0.87053532313980053</v>
      </c>
      <c r="E50" s="152">
        <f>'4B Biological treatment '!U103</f>
        <v>39.174089541291025</v>
      </c>
      <c r="F50" s="152">
        <f>'4B Biological treatment '!W103</f>
        <v>2.3504453724774614</v>
      </c>
      <c r="G50" s="688">
        <f>'4C2 Open-burning '!R110</f>
        <v>13.800644098157552</v>
      </c>
      <c r="H50" s="688">
        <f>'4C2 Open-burning '!Z110</f>
        <v>4.6434942271690707</v>
      </c>
      <c r="I50" s="688">
        <f>'4C2 Open-burning '!AH110</f>
        <v>6.46452769888477E-2</v>
      </c>
      <c r="J50" s="93">
        <f>'4D Wastewater treatment and dis'!AV147</f>
        <v>205.91931521003639</v>
      </c>
      <c r="K50" s="3">
        <f>'4D Wastewater treatment and dis'!AW147</f>
        <v>3.5726855776049167</v>
      </c>
      <c r="L50" s="465">
        <f t="shared" si="69"/>
        <v>8780.2581012690935</v>
      </c>
      <c r="M50" s="688">
        <f t="shared" si="70"/>
        <v>18.281241785935812</v>
      </c>
      <c r="N50" s="465">
        <f t="shared" si="71"/>
        <v>1551.2939458351245</v>
      </c>
      <c r="O50" s="464">
        <f t="shared" si="72"/>
        <v>131.35405873525082</v>
      </c>
      <c r="P50" s="465">
        <f t="shared" si="73"/>
        <v>5431.8381484682886</v>
      </c>
      <c r="Q50" s="465">
        <f t="shared" si="74"/>
        <v>8780.2581012690935</v>
      </c>
      <c r="R50" s="467">
        <f t="shared" si="75"/>
        <v>1569.5751876210604</v>
      </c>
      <c r="S50" s="464">
        <f t="shared" si="76"/>
        <v>131.35405873525082</v>
      </c>
      <c r="T50" s="465">
        <f t="shared" si="77"/>
        <v>5431.8381484682886</v>
      </c>
      <c r="U50" s="465">
        <f t="shared" si="78"/>
        <v>15913.025496093693</v>
      </c>
      <c r="V50" s="3"/>
      <c r="W50" s="535">
        <f t="shared" si="79"/>
        <v>2040</v>
      </c>
      <c r="X50" s="948">
        <f t="shared" si="80"/>
        <v>8483.1047732978714</v>
      </c>
      <c r="Y50" s="465">
        <f t="shared" si="81"/>
        <v>1584.7508986647715</v>
      </c>
      <c r="Z50" s="465">
        <f t="shared" si="82"/>
        <v>124.94496389699975</v>
      </c>
      <c r="AA50" s="465">
        <f t="shared" si="83"/>
        <v>5511.507172078449</v>
      </c>
      <c r="AB50" s="986">
        <f t="shared" si="22"/>
        <v>15704.307807938092</v>
      </c>
      <c r="AC50" s="1206" t="str">
        <f>IF(OR('Recycling - Case 1'!AC120="No",'Recycling - Case 1'!T160="No"), "No", "Yes")</f>
        <v>No</v>
      </c>
      <c r="AD50" s="948">
        <f t="shared" si="84"/>
        <v>8483.1047732978714</v>
      </c>
      <c r="AE50" s="465">
        <f t="shared" si="85"/>
        <v>1584.7508986647715</v>
      </c>
      <c r="AF50" s="465">
        <f t="shared" si="86"/>
        <v>124.94496389699975</v>
      </c>
      <c r="AG50" s="465">
        <f t="shared" si="87"/>
        <v>5511.507172078449</v>
      </c>
      <c r="AH50" s="986">
        <f t="shared" si="60"/>
        <v>15704.307807938092</v>
      </c>
      <c r="AI50" s="1206" t="str">
        <f>IF(OR('Recycling - Case 1'!AI31="No",'Recycling - Case 1'!Z160="No"), "No", "Yes")</f>
        <v>Yes</v>
      </c>
      <c r="AJ50" s="948">
        <f t="shared" si="88"/>
        <v>7699.9913228316873</v>
      </c>
      <c r="AK50" s="465">
        <f t="shared" si="89"/>
        <v>1584.7508986647715</v>
      </c>
      <c r="AL50" s="465">
        <f t="shared" si="90"/>
        <v>96.424392766634725</v>
      </c>
      <c r="AM50" s="465">
        <f t="shared" si="91"/>
        <v>5910.5240397260632</v>
      </c>
      <c r="AN50" s="986">
        <f t="shared" si="92"/>
        <v>15291.690653989157</v>
      </c>
      <c r="AO50" s="1201" t="str">
        <f>IF(OR('Recycling - Case 2'!AC120="No",'Recycling - Case 2'!T160="No"), "No", "Yes")</f>
        <v>No</v>
      </c>
      <c r="AP50" s="948">
        <f t="shared" si="93"/>
        <v>7699.9913228316873</v>
      </c>
      <c r="AQ50" s="465">
        <f t="shared" si="94"/>
        <v>1584.7508986647715</v>
      </c>
      <c r="AR50" s="465">
        <f t="shared" si="95"/>
        <v>96.424392766634725</v>
      </c>
      <c r="AS50" s="465">
        <f t="shared" si="96"/>
        <v>5910.5240397260632</v>
      </c>
      <c r="AT50" s="986">
        <f t="shared" si="37"/>
        <v>15291.690653989157</v>
      </c>
      <c r="AU50" s="1206" t="str">
        <f>IF(OR('Recycling - Case 2'!AC120="No",'Recycling - Case 2'!T200="No"), "No", "Yes")</f>
        <v>No</v>
      </c>
      <c r="AV50" s="948">
        <f t="shared" si="63"/>
        <v>7701.1958787623025</v>
      </c>
      <c r="AW50" s="465">
        <f t="shared" si="64"/>
        <v>962.45270883967009</v>
      </c>
      <c r="AX50" s="465">
        <f t="shared" si="65"/>
        <v>96.424392766634725</v>
      </c>
      <c r="AY50" s="465">
        <f t="shared" si="66"/>
        <v>5910.5240397260632</v>
      </c>
      <c r="AZ50" s="986">
        <f t="shared" si="67"/>
        <v>14670.597020094669</v>
      </c>
      <c r="BA50" s="1206" t="str">
        <f>IF(OR('Recycling - Case 3'!AC120="No",'Recycling - Case 3'!T160="No"), "No", "Yes")</f>
        <v>No</v>
      </c>
      <c r="BB50" s="948">
        <f t="shared" si="97"/>
        <v>7701.1958787623025</v>
      </c>
      <c r="BC50" s="465">
        <f t="shared" si="98"/>
        <v>962.45270883967009</v>
      </c>
      <c r="BD50" s="465">
        <f t="shared" si="99"/>
        <v>96.424392766634725</v>
      </c>
      <c r="BE50" s="465">
        <f t="shared" si="100"/>
        <v>5910.5240397260632</v>
      </c>
      <c r="BF50" s="986">
        <f t="shared" si="47"/>
        <v>14670.597020094669</v>
      </c>
      <c r="BG50" s="1206" t="str">
        <f>IF(OR('Recycling - Case 3'!AC120="No",'Recycling - Case 3'!T200="No"), "No", "Yes")</f>
        <v>No</v>
      </c>
      <c r="BH50" s="535">
        <f t="shared" si="48"/>
        <v>2040</v>
      </c>
      <c r="BI50" s="465">
        <f>'Recycling - Case 1'!BV120</f>
        <v>89.151677764830268</v>
      </c>
      <c r="BJ50" s="100">
        <f>'Recycling - Case 1'!BW120</f>
        <v>0.66291070858592815</v>
      </c>
      <c r="BK50" s="986">
        <f>'Recycling - Case 1'!BX120</f>
        <v>33.316432855155306</v>
      </c>
      <c r="BL50" s="948">
        <f>'Recycling - Case 1'!BY120</f>
        <v>89.151677764830268</v>
      </c>
      <c r="BM50" s="100">
        <f>'Recycling - Case 1'!BZ120</f>
        <v>0.66291070858592815</v>
      </c>
      <c r="BN50" s="986">
        <f>'Recycling - Case 1'!CA120</f>
        <v>33.316432855155306</v>
      </c>
      <c r="BO50" s="465">
        <f>'Recycling - Case 2'!BV120</f>
        <v>89.382285397654201</v>
      </c>
      <c r="BP50" s="100">
        <f>'Recycling - Case 2'!BW120</f>
        <v>0.75141980415206011</v>
      </c>
      <c r="BQ50" s="986">
        <f>'Recycling - Case 2'!BX120</f>
        <v>33.316432855155306</v>
      </c>
      <c r="BR50" s="948">
        <f>'Recycling - Case 2'!BY120</f>
        <v>89.382285397654201</v>
      </c>
      <c r="BS50" s="100">
        <f>'Recycling - Case 2'!BZ120</f>
        <v>0.75141980415206011</v>
      </c>
      <c r="BT50" s="986">
        <f>'Recycling - Case 2'!CA120</f>
        <v>33.316432855155306</v>
      </c>
      <c r="BU50" s="465">
        <f>'Recycling - Case 3'!BV120</f>
        <v>89.382285397654201</v>
      </c>
      <c r="BV50" s="100">
        <f>'Recycling - Case 3'!BW120</f>
        <v>0.75141980415206011</v>
      </c>
      <c r="BW50" s="986">
        <f>'Recycling - Case 3'!BX120</f>
        <v>33.316432855155306</v>
      </c>
      <c r="BX50" s="948">
        <f>'Recycling - Case 3'!BY120</f>
        <v>89.382285397654201</v>
      </c>
      <c r="BY50" s="100">
        <f>'Recycling - Case 3'!BZ120</f>
        <v>0.75141980415206011</v>
      </c>
      <c r="BZ50" s="986">
        <f>'Recycling - Case 3'!CA120</f>
        <v>33.316432855155306</v>
      </c>
      <c r="CA50" s="535">
        <v>2040</v>
      </c>
      <c r="CB50" s="579">
        <f>'Recycling - Case 1'!CB120</f>
        <v>0.36365151761921655</v>
      </c>
      <c r="CC50" s="100">
        <f>'Recycling - Case 1'!CC120</f>
        <v>0.4044885695009669</v>
      </c>
      <c r="CD50" s="100">
        <f>'Recycling - Case 1'!CD120</f>
        <v>0.36365151761921655</v>
      </c>
      <c r="CE50" s="471">
        <f>'Recycling - Case 1'!CE120</f>
        <v>0.4044885695009669</v>
      </c>
      <c r="CF50" s="579">
        <f>'Recycling - Case 2'!CB120</f>
        <v>0.3560361583119136</v>
      </c>
      <c r="CG50" s="100">
        <f>'Recycling - Case 2'!CC120</f>
        <v>0.4044885695009669</v>
      </c>
      <c r="CH50" s="100">
        <f>'Recycling - Case 2'!CD120</f>
        <v>0.3560361583119136</v>
      </c>
      <c r="CI50" s="471">
        <f>'Recycling - Case 2'!CE120</f>
        <v>0.4044885695009669</v>
      </c>
      <c r="CJ50" s="579">
        <f>'Recycling - Case 3'!CB120</f>
        <v>0.3560361583119136</v>
      </c>
      <c r="CK50" s="100">
        <f>'Recycling - Case 3'!CC120</f>
        <v>0.4044885695009669</v>
      </c>
      <c r="CL50" s="100">
        <f>'Recycling - Case 3'!CD120</f>
        <v>0.3560361583119136</v>
      </c>
      <c r="CM50" s="471">
        <f>'Recycling - Case 3'!CE120</f>
        <v>0.4044885695009669</v>
      </c>
    </row>
    <row r="51" spans="1:91">
      <c r="A51">
        <f>'Input data'!A140</f>
        <v>2040</v>
      </c>
      <c r="C51" s="116">
        <f>'4A SWD Case 1'!BG110</f>
        <v>403.95737015704145</v>
      </c>
      <c r="D51" s="3">
        <f>'4B Biological treatment '!T104</f>
        <v>0.87895224551568041</v>
      </c>
      <c r="E51" s="152">
        <f>'4B Biological treatment '!U104</f>
        <v>39.552851048205611</v>
      </c>
      <c r="F51" s="152">
        <f>'4B Biological treatment '!W104</f>
        <v>2.3731710628923368</v>
      </c>
      <c r="G51" s="688">
        <f>'4C2 Open-burning '!R111</f>
        <v>13.127275968495754</v>
      </c>
      <c r="H51" s="688">
        <f>'4C2 Open-burning '!Z111</f>
        <v>4.4169264669540507</v>
      </c>
      <c r="I51" s="688">
        <f>'4C2 Open-burning '!AH111</f>
        <v>6.1491071362803011E-2</v>
      </c>
      <c r="J51" s="93">
        <f>'4D Wastewater treatment and dis'!AV148</f>
        <v>209.32696305297864</v>
      </c>
      <c r="K51" s="3">
        <f>'4D Wastewater treatment and dis'!AW148</f>
        <v>3.5988417676319293</v>
      </c>
      <c r="L51" s="465">
        <f t="shared" si="69"/>
        <v>8483.1047732978714</v>
      </c>
      <c r="M51" s="688">
        <f t="shared" si="70"/>
        <v>18.45799715582929</v>
      </c>
      <c r="N51" s="465">
        <f t="shared" si="71"/>
        <v>1566.2929015089421</v>
      </c>
      <c r="O51" s="464">
        <f t="shared" si="72"/>
        <v>124.94496389699975</v>
      </c>
      <c r="P51" s="465">
        <f t="shared" si="73"/>
        <v>5511.507172078449</v>
      </c>
      <c r="Q51" s="465">
        <f t="shared" si="74"/>
        <v>8483.1047732978714</v>
      </c>
      <c r="R51" s="467">
        <f t="shared" si="75"/>
        <v>1584.7508986647715</v>
      </c>
      <c r="S51" s="464">
        <f t="shared" si="76"/>
        <v>124.94496389699975</v>
      </c>
      <c r="T51" s="465">
        <f t="shared" si="77"/>
        <v>5511.507172078449</v>
      </c>
      <c r="U51" s="465">
        <f t="shared" si="78"/>
        <v>15704.307807938092</v>
      </c>
      <c r="V51" s="3"/>
      <c r="W51" s="535">
        <f t="shared" si="79"/>
        <v>2041</v>
      </c>
      <c r="X51" s="948">
        <f t="shared" si="80"/>
        <v>8196.079472862044</v>
      </c>
      <c r="Y51" s="465">
        <f t="shared" si="81"/>
        <v>1600.5032658783659</v>
      </c>
      <c r="Z51" s="465">
        <f t="shared" si="82"/>
        <v>118.59896220497515</v>
      </c>
      <c r="AA51" s="465">
        <f t="shared" si="83"/>
        <v>5585.8882679954158</v>
      </c>
      <c r="AB51" s="986">
        <f t="shared" si="22"/>
        <v>15501.069968940799</v>
      </c>
      <c r="AC51" s="1206" t="str">
        <f>IF(OR('Recycling - Case 1'!AC121="No",'Recycling - Case 1'!T161="No"), "No", "Yes")</f>
        <v>No</v>
      </c>
      <c r="AD51" s="948">
        <f t="shared" si="84"/>
        <v>8196.079472862044</v>
      </c>
      <c r="AE51" s="465">
        <f t="shared" si="85"/>
        <v>1600.5032658783659</v>
      </c>
      <c r="AF51" s="465">
        <f t="shared" si="86"/>
        <v>118.59896220497515</v>
      </c>
      <c r="AG51" s="465">
        <f t="shared" si="87"/>
        <v>5585.8882679954158</v>
      </c>
      <c r="AH51" s="986">
        <f t="shared" si="60"/>
        <v>15501.069968940799</v>
      </c>
      <c r="AI51" s="1206" t="str">
        <f>IF(OR('Recycling - Case 1'!AI32="No",'Recycling - Case 1'!Z161="No"), "No", "Yes")</f>
        <v>Yes</v>
      </c>
      <c r="AJ51" s="948">
        <f t="shared" si="88"/>
        <v>7421.9986685750537</v>
      </c>
      <c r="AK51" s="465">
        <f t="shared" si="89"/>
        <v>1600.5032658783659</v>
      </c>
      <c r="AL51" s="465">
        <f t="shared" si="90"/>
        <v>96.232289152450377</v>
      </c>
      <c r="AM51" s="465">
        <f t="shared" si="91"/>
        <v>5947.2338879558556</v>
      </c>
      <c r="AN51" s="986">
        <f t="shared" si="92"/>
        <v>15065.968111561726</v>
      </c>
      <c r="AO51" s="1201" t="str">
        <f>IF(OR('Recycling - Case 2'!AC121="No",'Recycling - Case 2'!T161="No"), "No", "Yes")</f>
        <v>No</v>
      </c>
      <c r="AP51" s="948">
        <f t="shared" si="93"/>
        <v>7421.9986685750537</v>
      </c>
      <c r="AQ51" s="465">
        <f t="shared" si="94"/>
        <v>1600.5032658783659</v>
      </c>
      <c r="AR51" s="465">
        <f t="shared" si="95"/>
        <v>96.232289152450377</v>
      </c>
      <c r="AS51" s="465">
        <f t="shared" si="96"/>
        <v>5947.2338879558556</v>
      </c>
      <c r="AT51" s="986">
        <f t="shared" si="37"/>
        <v>15065.968111561726</v>
      </c>
      <c r="AU51" s="1206" t="str">
        <f>IF(OR('Recycling - Case 2'!AC121="No",'Recycling - Case 2'!T201="No"), "No", "Yes")</f>
        <v>No</v>
      </c>
      <c r="AV51" s="948">
        <f t="shared" si="63"/>
        <v>7423.2555264986477</v>
      </c>
      <c r="AW51" s="465">
        <f t="shared" si="64"/>
        <v>972.01945431880802</v>
      </c>
      <c r="AX51" s="465">
        <f t="shared" si="65"/>
        <v>96.232289152450349</v>
      </c>
      <c r="AY51" s="465">
        <f t="shared" si="66"/>
        <v>5947.2338879558556</v>
      </c>
      <c r="AZ51" s="986">
        <f t="shared" si="67"/>
        <v>14438.741157925762</v>
      </c>
      <c r="BA51" s="1206" t="str">
        <f>IF(OR('Recycling - Case 3'!AC121="No",'Recycling - Case 3'!T161="No"), "No", "Yes")</f>
        <v>No</v>
      </c>
      <c r="BB51" s="948">
        <f t="shared" si="97"/>
        <v>7423.2555264986477</v>
      </c>
      <c r="BC51" s="465">
        <f t="shared" si="98"/>
        <v>972.01945431880802</v>
      </c>
      <c r="BD51" s="465">
        <f t="shared" si="99"/>
        <v>96.232289152450349</v>
      </c>
      <c r="BE51" s="465">
        <f t="shared" si="100"/>
        <v>5947.2338879558556</v>
      </c>
      <c r="BF51" s="986">
        <f t="shared" si="47"/>
        <v>14438.741157925762</v>
      </c>
      <c r="BG51" s="1206" t="str">
        <f>IF(OR('Recycling - Case 3'!AC121="No",'Recycling - Case 3'!T201="No"), "No", "Yes")</f>
        <v>No</v>
      </c>
      <c r="BH51" s="535">
        <f t="shared" si="48"/>
        <v>2041</v>
      </c>
      <c r="BI51" s="465">
        <f>'Recycling - Case 1'!BV121</f>
        <v>87.389084212264834</v>
      </c>
      <c r="BJ51" s="100">
        <f>'Recycling - Case 1'!BW121</f>
        <v>0.68200423433682533</v>
      </c>
      <c r="BK51" s="986">
        <f>'Recycling - Case 1'!BX121</f>
        <v>30.696987018642712</v>
      </c>
      <c r="BL51" s="948">
        <f>'Recycling - Case 1'!BY121</f>
        <v>87.389084212264834</v>
      </c>
      <c r="BM51" s="100">
        <f>'Recycling - Case 1'!BZ121</f>
        <v>0.68200423433682533</v>
      </c>
      <c r="BN51" s="986">
        <f>'Recycling - Case 1'!CA121</f>
        <v>30.696987018642712</v>
      </c>
      <c r="BO51" s="465">
        <f>'Recycling - Case 2'!BV121</f>
        <v>87.852938915185021</v>
      </c>
      <c r="BP51" s="100">
        <f>'Recycling - Case 2'!BW121</f>
        <v>0.76498226738310005</v>
      </c>
      <c r="BQ51" s="986">
        <f>'Recycling - Case 2'!BX121</f>
        <v>30.696987018642712</v>
      </c>
      <c r="BR51" s="948">
        <f>'Recycling - Case 2'!BY121</f>
        <v>87.852938915185021</v>
      </c>
      <c r="BS51" s="100">
        <f>'Recycling - Case 2'!BZ121</f>
        <v>0.76498226738310005</v>
      </c>
      <c r="BT51" s="986">
        <f>'Recycling - Case 2'!CA121</f>
        <v>30.696987018642712</v>
      </c>
      <c r="BU51" s="465">
        <f>'Recycling - Case 3'!BV121</f>
        <v>87.852938915185021</v>
      </c>
      <c r="BV51" s="100">
        <f>'Recycling - Case 3'!BW121</f>
        <v>0.76498226738310005</v>
      </c>
      <c r="BW51" s="986">
        <f>'Recycling - Case 3'!BX121</f>
        <v>30.696987018642712</v>
      </c>
      <c r="BX51" s="948">
        <f>'Recycling - Case 3'!BY121</f>
        <v>87.852938915185021</v>
      </c>
      <c r="BY51" s="100">
        <f>'Recycling - Case 3'!BZ121</f>
        <v>0.76498226738310005</v>
      </c>
      <c r="BZ51" s="986">
        <f>'Recycling - Case 3'!CA121</f>
        <v>30.696987018642712</v>
      </c>
      <c r="CA51" s="535">
        <v>2041</v>
      </c>
      <c r="CB51" s="579">
        <f>'Recycling - Case 1'!CB121</f>
        <v>0.37326134680596657</v>
      </c>
      <c r="CC51" s="100">
        <f>'Recycling - Case 1'!CC121</f>
        <v>0.41702627838995165</v>
      </c>
      <c r="CD51" s="100">
        <f>'Recycling - Case 1'!CD121</f>
        <v>0.37326134680596657</v>
      </c>
      <c r="CE51" s="471">
        <f>'Recycling - Case 1'!CE121</f>
        <v>0.41702627838995165</v>
      </c>
      <c r="CF51" s="579">
        <f>'Recycling - Case 2'!CB121</f>
        <v>0.35803801704304605</v>
      </c>
      <c r="CG51" s="100">
        <f>'Recycling - Case 2'!CC121</f>
        <v>0.41702627838995165</v>
      </c>
      <c r="CH51" s="100">
        <f>'Recycling - Case 2'!CD121</f>
        <v>0.35803801704304605</v>
      </c>
      <c r="CI51" s="471">
        <f>'Recycling - Case 2'!CE121</f>
        <v>0.41702627838995165</v>
      </c>
      <c r="CJ51" s="579">
        <f>'Recycling - Case 3'!CB121</f>
        <v>0.35803801704304605</v>
      </c>
      <c r="CK51" s="100">
        <f>'Recycling - Case 3'!CC121</f>
        <v>0.41702627838995165</v>
      </c>
      <c r="CL51" s="100">
        <f>'Recycling - Case 3'!CD121</f>
        <v>0.35803801704304605</v>
      </c>
      <c r="CM51" s="471">
        <f>'Recycling - Case 3'!CE121</f>
        <v>0.41702627838995165</v>
      </c>
    </row>
    <row r="52" spans="1:91">
      <c r="A52">
        <f>'Input data'!A141</f>
        <v>2041</v>
      </c>
      <c r="C52" s="116">
        <f>'4A SWD Case 1'!BG111</f>
        <v>390.2894987077164</v>
      </c>
      <c r="D52" s="3">
        <f>'4B Biological treatment '!T105</f>
        <v>0.88768899937790691</v>
      </c>
      <c r="E52" s="152">
        <f>'4B Biological treatment '!U105</f>
        <v>39.946004972005802</v>
      </c>
      <c r="F52" s="152">
        <f>'4B Biological treatment '!W105</f>
        <v>2.3967602983203484</v>
      </c>
      <c r="G52" s="688">
        <f>'4C2 Open-burning '!R112</f>
        <v>12.46053668657942</v>
      </c>
      <c r="H52" s="688">
        <f>'4C2 Open-burning '!Z112</f>
        <v>4.1925891110607356</v>
      </c>
      <c r="I52" s="688">
        <f>'4C2 Open-burning '!AH112</f>
        <v>5.836791672942028E-2</v>
      </c>
      <c r="J52" s="93">
        <f>'4D Wastewater treatment and dis'!AV149</f>
        <v>212.53895965397319</v>
      </c>
      <c r="K52" s="3">
        <f>'4D Wastewater treatment and dis'!AW149</f>
        <v>3.6211939201999317</v>
      </c>
      <c r="L52" s="465">
        <f t="shared" si="69"/>
        <v>8196.079472862044</v>
      </c>
      <c r="M52" s="688">
        <f t="shared" si="70"/>
        <v>18.641468986936044</v>
      </c>
      <c r="N52" s="465">
        <f t="shared" si="71"/>
        <v>1581.86179689143</v>
      </c>
      <c r="O52" s="464">
        <f t="shared" si="72"/>
        <v>118.59896220497515</v>
      </c>
      <c r="P52" s="465">
        <f t="shared" si="73"/>
        <v>5585.8882679954158</v>
      </c>
      <c r="Q52" s="465">
        <f t="shared" si="74"/>
        <v>8196.079472862044</v>
      </c>
      <c r="R52" s="467">
        <f t="shared" si="75"/>
        <v>1600.5032658783659</v>
      </c>
      <c r="S52" s="464">
        <f t="shared" si="76"/>
        <v>118.59896220497515</v>
      </c>
      <c r="T52" s="465">
        <f t="shared" si="77"/>
        <v>5585.8882679954158</v>
      </c>
      <c r="U52" s="465">
        <f t="shared" si="78"/>
        <v>15501.069968940799</v>
      </c>
      <c r="V52" s="3"/>
      <c r="W52" s="535">
        <f t="shared" si="79"/>
        <v>2042</v>
      </c>
      <c r="X52" s="948">
        <f t="shared" si="80"/>
        <v>7918.5549550714541</v>
      </c>
      <c r="Y52" s="465">
        <f t="shared" si="81"/>
        <v>1615.6495611764715</v>
      </c>
      <c r="Z52" s="465">
        <f t="shared" si="82"/>
        <v>112.27558743164121</v>
      </c>
      <c r="AA52" s="465">
        <f t="shared" si="83"/>
        <v>5660.9807054541461</v>
      </c>
      <c r="AB52" s="986">
        <f t="shared" si="22"/>
        <v>15307.460809133714</v>
      </c>
      <c r="AC52" s="1206" t="str">
        <f>IF(OR('Recycling - Case 1'!AC122="No",'Recycling - Case 1'!T162="No"), "No", "Yes")</f>
        <v>No</v>
      </c>
      <c r="AD52" s="948">
        <f t="shared" si="84"/>
        <v>7918.5549550714541</v>
      </c>
      <c r="AE52" s="465">
        <f t="shared" si="85"/>
        <v>1615.6495611764715</v>
      </c>
      <c r="AF52" s="465">
        <f t="shared" si="86"/>
        <v>112.27558743164121</v>
      </c>
      <c r="AG52" s="465">
        <f t="shared" si="87"/>
        <v>5660.9807054541461</v>
      </c>
      <c r="AH52" s="986">
        <f t="shared" si="60"/>
        <v>15307.460809133714</v>
      </c>
      <c r="AI52" s="1206" t="str">
        <f>IF(OR('Recycling - Case 1'!AI33="No",'Recycling - Case 1'!Z162="No"), "No", "Yes")</f>
        <v>Yes</v>
      </c>
      <c r="AJ52" s="948">
        <f t="shared" si="88"/>
        <v>7157.7333708271699</v>
      </c>
      <c r="AK52" s="465">
        <f t="shared" si="89"/>
        <v>1615.6495611764715</v>
      </c>
      <c r="AL52" s="465">
        <f t="shared" si="90"/>
        <v>96.042128189602451</v>
      </c>
      <c r="AM52" s="465">
        <f t="shared" si="91"/>
        <v>5984.171738465644</v>
      </c>
      <c r="AN52" s="986">
        <f t="shared" si="92"/>
        <v>14853.596798658889</v>
      </c>
      <c r="AO52" s="1201" t="str">
        <f>IF(OR('Recycling - Case 2'!AC122="No",'Recycling - Case 2'!T162="No"), "No", "Yes")</f>
        <v>No</v>
      </c>
      <c r="AP52" s="948">
        <f t="shared" si="93"/>
        <v>7157.7333708271699</v>
      </c>
      <c r="AQ52" s="465">
        <f t="shared" si="94"/>
        <v>1615.6495611764715</v>
      </c>
      <c r="AR52" s="465">
        <f t="shared" si="95"/>
        <v>96.042128189602451</v>
      </c>
      <c r="AS52" s="465">
        <f t="shared" si="96"/>
        <v>5984.171738465644</v>
      </c>
      <c r="AT52" s="986">
        <f t="shared" si="37"/>
        <v>14853.596798658889</v>
      </c>
      <c r="AU52" s="1206" t="str">
        <f>IF(OR('Recycling - Case 2'!AC122="No",'Recycling - Case 2'!T202="No"), "No", "Yes")</f>
        <v>No</v>
      </c>
      <c r="AV52" s="948">
        <f t="shared" si="63"/>
        <v>7159.0402454402974</v>
      </c>
      <c r="AW52" s="465">
        <f t="shared" si="64"/>
        <v>981.21811951649272</v>
      </c>
      <c r="AX52" s="465">
        <f t="shared" si="65"/>
        <v>96.042128189602451</v>
      </c>
      <c r="AY52" s="465">
        <f t="shared" si="66"/>
        <v>5984.171738465644</v>
      </c>
      <c r="AZ52" s="986">
        <f t="shared" si="67"/>
        <v>14220.472231612037</v>
      </c>
      <c r="BA52" s="1206" t="str">
        <f>IF(OR('Recycling - Case 3'!AC122="No",'Recycling - Case 3'!T162="No"), "No", "Yes")</f>
        <v>No</v>
      </c>
      <c r="BB52" s="948">
        <f t="shared" si="97"/>
        <v>7159.0402454402974</v>
      </c>
      <c r="BC52" s="465">
        <f t="shared" si="98"/>
        <v>981.21811951649272</v>
      </c>
      <c r="BD52" s="465">
        <f t="shared" si="99"/>
        <v>96.042128189602451</v>
      </c>
      <c r="BE52" s="465">
        <f t="shared" si="100"/>
        <v>5984.171738465644</v>
      </c>
      <c r="BF52" s="986">
        <f t="shared" si="47"/>
        <v>14220.472231612037</v>
      </c>
      <c r="BG52" s="1206" t="str">
        <f>IF(OR('Recycling - Case 3'!AC122="No",'Recycling - Case 3'!T202="No"), "No", "Yes")</f>
        <v>No</v>
      </c>
      <c r="BH52" s="535">
        <f t="shared" si="48"/>
        <v>2042</v>
      </c>
      <c r="BI52" s="465">
        <f>'Recycling - Case 1'!BV122</f>
        <v>85.587387509438202</v>
      </c>
      <c r="BJ52" s="100">
        <f>'Recycling - Case 1'!BW122</f>
        <v>0.7017476249005925</v>
      </c>
      <c r="BK52" s="986">
        <f>'Recycling - Case 1'!BX122</f>
        <v>28.077541182130112</v>
      </c>
      <c r="BL52" s="948">
        <f>'Recycling - Case 1'!BY122</f>
        <v>85.587387509438202</v>
      </c>
      <c r="BM52" s="100">
        <f>'Recycling - Case 1'!BZ122</f>
        <v>0.7017476249005925</v>
      </c>
      <c r="BN52" s="986">
        <f>'Recycling - Case 1'!CA122</f>
        <v>28.077541182130112</v>
      </c>
      <c r="BO52" s="465">
        <f>'Recycling - Case 2'!BV122</f>
        <v>86.284365799651582</v>
      </c>
      <c r="BP52" s="100">
        <f>'Recycling - Case 2'!BW122</f>
        <v>0.77892482805097885</v>
      </c>
      <c r="BQ52" s="986">
        <f>'Recycling - Case 2'!BX122</f>
        <v>28.077541182130112</v>
      </c>
      <c r="BR52" s="948">
        <f>'Recycling - Case 2'!BY122</f>
        <v>86.284365799651582</v>
      </c>
      <c r="BS52" s="100">
        <f>'Recycling - Case 2'!BZ122</f>
        <v>0.77892482805097885</v>
      </c>
      <c r="BT52" s="986">
        <f>'Recycling - Case 2'!CA122</f>
        <v>28.077541182130112</v>
      </c>
      <c r="BU52" s="465">
        <f>'Recycling - Case 3'!BV122</f>
        <v>86.284365799651582</v>
      </c>
      <c r="BV52" s="100">
        <f>'Recycling - Case 3'!BW122</f>
        <v>0.77892482805097885</v>
      </c>
      <c r="BW52" s="986">
        <f>'Recycling - Case 3'!BX122</f>
        <v>28.077541182130112</v>
      </c>
      <c r="BX52" s="948">
        <f>'Recycling - Case 3'!BY122</f>
        <v>86.284365799651582</v>
      </c>
      <c r="BY52" s="100">
        <f>'Recycling - Case 3'!BZ122</f>
        <v>0.77892482805097885</v>
      </c>
      <c r="BZ52" s="986">
        <f>'Recycling - Case 3'!CA122</f>
        <v>28.077541182130112</v>
      </c>
      <c r="CA52" s="535">
        <v>2042</v>
      </c>
      <c r="CB52" s="579">
        <f>'Recycling - Case 1'!CB122</f>
        <v>0.38275965270757828</v>
      </c>
      <c r="CC52" s="100">
        <f>'Recycling - Case 1'!CC122</f>
        <v>0.42949271482438578</v>
      </c>
      <c r="CD52" s="100">
        <f>'Recycling - Case 1'!CD122</f>
        <v>0.38275965270757828</v>
      </c>
      <c r="CE52" s="471">
        <f>'Recycling - Case 1'!CE122</f>
        <v>0.42949271482438578</v>
      </c>
      <c r="CF52" s="579">
        <f>'Recycling - Case 2'!CB122</f>
        <v>0.36002659202487586</v>
      </c>
      <c r="CG52" s="100">
        <f>'Recycling - Case 2'!CC122</f>
        <v>0.42949271482438589</v>
      </c>
      <c r="CH52" s="100">
        <f>'Recycling - Case 2'!CD122</f>
        <v>0.36002659202487586</v>
      </c>
      <c r="CI52" s="471">
        <f>'Recycling - Case 2'!CE122</f>
        <v>0.42949271482438589</v>
      </c>
      <c r="CJ52" s="579">
        <f>'Recycling - Case 3'!CB122</f>
        <v>0.36002659202487586</v>
      </c>
      <c r="CK52" s="100">
        <f>'Recycling - Case 3'!CC122</f>
        <v>0.42949271482438589</v>
      </c>
      <c r="CL52" s="100">
        <f>'Recycling - Case 3'!CD122</f>
        <v>0.36002659202487586</v>
      </c>
      <c r="CM52" s="471">
        <f>'Recycling - Case 3'!CE122</f>
        <v>0.42949271482438589</v>
      </c>
    </row>
    <row r="53" spans="1:91">
      <c r="A53">
        <f>'Input data'!A142</f>
        <v>2042</v>
      </c>
      <c r="C53" s="116">
        <f>'4A SWD Case 1'!BG112</f>
        <v>377.07404547959305</v>
      </c>
      <c r="D53" s="3">
        <f>'4B Biological treatment '!T106</f>
        <v>0.896089606864377</v>
      </c>
      <c r="E53" s="152">
        <f>'4B Biological treatment '!U106</f>
        <v>40.32403230889696</v>
      </c>
      <c r="F53" s="152">
        <f>'4B Biological treatment '!W106</f>
        <v>2.4194419385338177</v>
      </c>
      <c r="G53" s="688">
        <f>'4C2 Open-burning '!R113</f>
        <v>11.796174689802916</v>
      </c>
      <c r="H53" s="688">
        <f>'4C2 Open-burning '!Z113</f>
        <v>3.9690516388355039</v>
      </c>
      <c r="I53" s="688">
        <f>'4C2 Open-burning '!AH113</f>
        <v>5.5255897826750736E-2</v>
      </c>
      <c r="J53" s="93">
        <f>'4D Wastewater treatment and dis'!AV150</f>
        <v>215.78278030125657</v>
      </c>
      <c r="K53" s="3">
        <f>'4D Wastewater treatment and dis'!AW150</f>
        <v>3.6436849004121257</v>
      </c>
      <c r="L53" s="465">
        <f t="shared" si="69"/>
        <v>7918.5549550714541</v>
      </c>
      <c r="M53" s="688">
        <f t="shared" si="70"/>
        <v>18.817881744151919</v>
      </c>
      <c r="N53" s="465">
        <f t="shared" si="71"/>
        <v>1596.8316794323196</v>
      </c>
      <c r="O53" s="464">
        <f t="shared" si="72"/>
        <v>112.27558743164121</v>
      </c>
      <c r="P53" s="465">
        <f t="shared" si="73"/>
        <v>5660.9807054541461</v>
      </c>
      <c r="Q53" s="465">
        <f t="shared" si="74"/>
        <v>7918.5549550714541</v>
      </c>
      <c r="R53" s="467">
        <f t="shared" si="75"/>
        <v>1615.6495611764715</v>
      </c>
      <c r="S53" s="464">
        <f t="shared" si="76"/>
        <v>112.27558743164121</v>
      </c>
      <c r="T53" s="465">
        <f t="shared" si="77"/>
        <v>5660.9807054541461</v>
      </c>
      <c r="U53" s="465">
        <f t="shared" si="78"/>
        <v>15307.460809133714</v>
      </c>
      <c r="V53" s="3"/>
      <c r="W53" s="535">
        <f t="shared" si="79"/>
        <v>2043</v>
      </c>
      <c r="X53" s="948">
        <f t="shared" si="80"/>
        <v>7649.9765492472843</v>
      </c>
      <c r="Y53" s="465">
        <f t="shared" si="81"/>
        <v>1631.2257268779565</v>
      </c>
      <c r="Z53" s="465">
        <f t="shared" si="82"/>
        <v>105.9745212931887</v>
      </c>
      <c r="AA53" s="465">
        <f t="shared" si="83"/>
        <v>5736.7904513402209</v>
      </c>
      <c r="AB53" s="986">
        <f t="shared" si="22"/>
        <v>15123.96724875865</v>
      </c>
      <c r="AC53" s="1206" t="str">
        <f>IF(OR('Recycling - Case 1'!AC123="No",'Recycling - Case 1'!T163="No"), "No", "Yes")</f>
        <v>No</v>
      </c>
      <c r="AD53" s="948">
        <f t="shared" si="84"/>
        <v>7649.9765492472843</v>
      </c>
      <c r="AE53" s="465">
        <f t="shared" si="85"/>
        <v>1631.2257268779565</v>
      </c>
      <c r="AF53" s="465">
        <f t="shared" si="86"/>
        <v>105.9745212931887</v>
      </c>
      <c r="AG53" s="465">
        <f t="shared" si="87"/>
        <v>5736.7904513402209</v>
      </c>
      <c r="AH53" s="986">
        <f t="shared" si="60"/>
        <v>15123.96724875865</v>
      </c>
      <c r="AI53" s="1206" t="str">
        <f>IF(OR('Recycling - Case 1'!AI34="No",'Recycling - Case 1'!Z163="No"), "No", "Yes")</f>
        <v>Yes</v>
      </c>
      <c r="AJ53" s="948">
        <f t="shared" si="88"/>
        <v>6906.5266548716372</v>
      </c>
      <c r="AK53" s="465">
        <f t="shared" si="89"/>
        <v>1631.2257268779565</v>
      </c>
      <c r="AL53" s="465">
        <f t="shared" si="90"/>
        <v>95.853884148944275</v>
      </c>
      <c r="AM53" s="465">
        <f t="shared" si="91"/>
        <v>6021.3390073615255</v>
      </c>
      <c r="AN53" s="986">
        <f t="shared" si="92"/>
        <v>14654.945273260062</v>
      </c>
      <c r="AO53" s="1201" t="str">
        <f>IF(OR('Recycling - Case 2'!AC123="No",'Recycling - Case 2'!T163="No"), "No", "Yes")</f>
        <v>No</v>
      </c>
      <c r="AP53" s="948">
        <f t="shared" si="93"/>
        <v>6906.5266548716372</v>
      </c>
      <c r="AQ53" s="465">
        <f t="shared" si="94"/>
        <v>1631.2257268779565</v>
      </c>
      <c r="AR53" s="465">
        <f t="shared" si="95"/>
        <v>95.853884148944275</v>
      </c>
      <c r="AS53" s="465">
        <f t="shared" si="96"/>
        <v>6021.3390073615255</v>
      </c>
      <c r="AT53" s="986">
        <f t="shared" si="37"/>
        <v>14654.945273260062</v>
      </c>
      <c r="AU53" s="1206" t="str">
        <f>IF(OR('Recycling - Case 2'!AC123="No",'Recycling - Case 2'!T203="No"), "No", "Yes")</f>
        <v>No</v>
      </c>
      <c r="AV53" s="948">
        <f t="shared" si="63"/>
        <v>6907.8813986801433</v>
      </c>
      <c r="AW53" s="465">
        <f t="shared" si="64"/>
        <v>990.67785409393366</v>
      </c>
      <c r="AX53" s="465">
        <f t="shared" si="65"/>
        <v>95.853884148944275</v>
      </c>
      <c r="AY53" s="465">
        <f t="shared" si="66"/>
        <v>6021.3390073615255</v>
      </c>
      <c r="AZ53" s="986">
        <f t="shared" si="67"/>
        <v>14015.752144284546</v>
      </c>
      <c r="BA53" s="1206" t="str">
        <f>IF(OR('Recycling - Case 3'!AC123="No",'Recycling - Case 3'!T163="No"), "No", "Yes")</f>
        <v>No</v>
      </c>
      <c r="BB53" s="948">
        <f t="shared" si="97"/>
        <v>6907.8813986801433</v>
      </c>
      <c r="BC53" s="465">
        <f t="shared" si="98"/>
        <v>990.67785409393366</v>
      </c>
      <c r="BD53" s="465">
        <f t="shared" si="99"/>
        <v>95.853884148944275</v>
      </c>
      <c r="BE53" s="465">
        <f t="shared" si="100"/>
        <v>6021.3390073615255</v>
      </c>
      <c r="BF53" s="986">
        <f t="shared" si="47"/>
        <v>14015.752144284546</v>
      </c>
      <c r="BG53" s="1206" t="str">
        <f>IF(OR('Recycling - Case 3'!AC123="No",'Recycling - Case 3'!T203="No"), "No", "Yes")</f>
        <v>No</v>
      </c>
      <c r="BH53" s="535">
        <f t="shared" si="48"/>
        <v>2043</v>
      </c>
      <c r="BI53" s="465">
        <f>'Recycling - Case 1'!BV123</f>
        <v>83.814322603758242</v>
      </c>
      <c r="BJ53" s="100">
        <f>'Recycling - Case 1'!BW123</f>
        <v>0.7224349760388008</v>
      </c>
      <c r="BK53" s="986">
        <f>'Recycling - Case 1'!BX123</f>
        <v>25.458095345617522</v>
      </c>
      <c r="BL53" s="948">
        <f>'Recycling - Case 1'!BY123</f>
        <v>83.814322603758242</v>
      </c>
      <c r="BM53" s="100">
        <f>'Recycling - Case 1'!BZ123</f>
        <v>0.7224349760388008</v>
      </c>
      <c r="BN53" s="986">
        <f>'Recycling - Case 1'!CA123</f>
        <v>25.458095345617522</v>
      </c>
      <c r="BO53" s="465">
        <f>'Recycling - Case 2'!BV123</f>
        <v>84.744304047821643</v>
      </c>
      <c r="BP53" s="100">
        <f>'Recycling - Case 2'!BW123</f>
        <v>0.79345321552366188</v>
      </c>
      <c r="BQ53" s="986">
        <f>'Recycling - Case 2'!BX123</f>
        <v>25.458095345617522</v>
      </c>
      <c r="BR53" s="948">
        <f>'Recycling - Case 2'!BY123</f>
        <v>84.744304047821643</v>
      </c>
      <c r="BS53" s="100">
        <f>'Recycling - Case 2'!BZ123</f>
        <v>0.79345321552366188</v>
      </c>
      <c r="BT53" s="986">
        <f>'Recycling - Case 2'!CA123</f>
        <v>25.458095345617522</v>
      </c>
      <c r="BU53" s="465">
        <f>'Recycling - Case 3'!BV123</f>
        <v>84.744304047821643</v>
      </c>
      <c r="BV53" s="100">
        <f>'Recycling - Case 3'!BW123</f>
        <v>0.79345321552366188</v>
      </c>
      <c r="BW53" s="986">
        <f>'Recycling - Case 3'!BX123</f>
        <v>25.458095345617522</v>
      </c>
      <c r="BX53" s="948">
        <f>'Recycling - Case 3'!BY123</f>
        <v>84.744304047821643</v>
      </c>
      <c r="BY53" s="100">
        <f>'Recycling - Case 3'!BZ123</f>
        <v>0.79345321552366188</v>
      </c>
      <c r="BZ53" s="986">
        <f>'Recycling - Case 3'!CA123</f>
        <v>25.458095345617522</v>
      </c>
      <c r="CA53" s="535">
        <v>2043</v>
      </c>
      <c r="CB53" s="579">
        <f>'Recycling - Case 1'!CB123</f>
        <v>0.39214758076794598</v>
      </c>
      <c r="CC53" s="100">
        <f>'Recycling - Case 1'!CC123</f>
        <v>0.44209693920459781</v>
      </c>
      <c r="CD53" s="100">
        <f>'Recycling - Case 1'!CD123</f>
        <v>0.39214758076794598</v>
      </c>
      <c r="CE53" s="471">
        <f>'Recycling - Case 1'!CE123</f>
        <v>0.44209693920459781</v>
      </c>
      <c r="CF53" s="579">
        <f>'Recycling - Case 2'!CB123</f>
        <v>0.36200198208013235</v>
      </c>
      <c r="CG53" s="100">
        <f>'Recycling - Case 2'!CC123</f>
        <v>0.44209693920459781</v>
      </c>
      <c r="CH53" s="100">
        <f>'Recycling - Case 2'!CD123</f>
        <v>0.36200198208013235</v>
      </c>
      <c r="CI53" s="471">
        <f>'Recycling - Case 2'!CE123</f>
        <v>0.44209693920459781</v>
      </c>
      <c r="CJ53" s="579">
        <f>'Recycling - Case 3'!CB123</f>
        <v>0.36200198208013235</v>
      </c>
      <c r="CK53" s="100">
        <f>'Recycling - Case 3'!CC123</f>
        <v>0.44209693920459781</v>
      </c>
      <c r="CL53" s="100">
        <f>'Recycling - Case 3'!CD123</f>
        <v>0.36200198208013235</v>
      </c>
      <c r="CM53" s="471">
        <f>'Recycling - Case 3'!CE123</f>
        <v>0.44209693920459781</v>
      </c>
    </row>
    <row r="54" spans="1:91">
      <c r="A54">
        <f>'Input data'!A143</f>
        <v>2043</v>
      </c>
      <c r="C54" s="116">
        <f>'4A SWD Case 1'!BG113</f>
        <v>364.284597583204</v>
      </c>
      <c r="D54" s="3">
        <f>'4B Biological treatment '!T107</f>
        <v>0.90472863387573854</v>
      </c>
      <c r="E54" s="152">
        <f>'4B Biological treatment '!U107</f>
        <v>40.712788524408225</v>
      </c>
      <c r="F54" s="152">
        <f>'4B Biological treatment '!W107</f>
        <v>2.4427673114644937</v>
      </c>
      <c r="G54" s="688">
        <f>'4C2 Open-burning '!R114</f>
        <v>11.134156537847643</v>
      </c>
      <c r="H54" s="688">
        <f>'4C2 Open-burning '!Z114</f>
        <v>3.7463027986349324</v>
      </c>
      <c r="I54" s="688">
        <f>'4C2 Open-burning '!AH114</f>
        <v>5.2154858012927324E-2</v>
      </c>
      <c r="J54" s="93">
        <f>'4D Wastewater treatment and dis'!AV151</f>
        <v>219.05869640380388</v>
      </c>
      <c r="K54" s="3">
        <f>'4D Wastewater treatment and dis'!AW151</f>
        <v>3.666315570517225</v>
      </c>
      <c r="L54" s="465">
        <f t="shared" si="69"/>
        <v>7649.9765492472843</v>
      </c>
      <c r="M54" s="688">
        <f t="shared" si="70"/>
        <v>18.999301311390511</v>
      </c>
      <c r="N54" s="465">
        <f t="shared" si="71"/>
        <v>1612.2264255665659</v>
      </c>
      <c r="O54" s="464">
        <f t="shared" si="72"/>
        <v>105.9745212931887</v>
      </c>
      <c r="P54" s="465">
        <f t="shared" si="73"/>
        <v>5736.7904513402209</v>
      </c>
      <c r="Q54" s="465">
        <f t="shared" si="74"/>
        <v>7649.9765492472843</v>
      </c>
      <c r="R54" s="467">
        <f t="shared" si="75"/>
        <v>1631.2257268779565</v>
      </c>
      <c r="S54" s="464">
        <f t="shared" si="76"/>
        <v>105.9745212931887</v>
      </c>
      <c r="T54" s="465">
        <f t="shared" si="77"/>
        <v>5736.7904513402209</v>
      </c>
      <c r="U54" s="465">
        <f t="shared" si="78"/>
        <v>15123.96724875865</v>
      </c>
      <c r="V54" s="3"/>
      <c r="W54" s="535">
        <f t="shared" si="79"/>
        <v>2044</v>
      </c>
      <c r="X54" s="948">
        <f t="shared" si="80"/>
        <v>7389.8165195718138</v>
      </c>
      <c r="Y54" s="465">
        <f t="shared" si="81"/>
        <v>1647.4144068093724</v>
      </c>
      <c r="Z54" s="465">
        <f t="shared" si="82"/>
        <v>99.695450674930214</v>
      </c>
      <c r="AA54" s="465">
        <f t="shared" si="83"/>
        <v>5813.3235192185621</v>
      </c>
      <c r="AB54" s="986">
        <f t="shared" si="22"/>
        <v>14950.249896274678</v>
      </c>
      <c r="AC54" s="1206" t="str">
        <f>IF(OR('Recycling - Case 1'!AC124="No",'Recycling - Case 1'!T164="No"), "No", "Yes")</f>
        <v>Yes</v>
      </c>
      <c r="AD54" s="948">
        <f t="shared" si="84"/>
        <v>7389.8165195718138</v>
      </c>
      <c r="AE54" s="465">
        <f t="shared" si="85"/>
        <v>1647.4144068093724</v>
      </c>
      <c r="AF54" s="465">
        <f t="shared" si="86"/>
        <v>99.695450674930214</v>
      </c>
      <c r="AG54" s="465">
        <f t="shared" si="87"/>
        <v>5813.3235192185621</v>
      </c>
      <c r="AH54" s="986">
        <f t="shared" si="60"/>
        <v>14950.249896274678</v>
      </c>
      <c r="AI54" s="1206" t="str">
        <f>IF(OR('Recycling - Case 1'!AI35="No",'Recycling - Case 1'!Z164="No"), "No", "Yes")</f>
        <v>Yes</v>
      </c>
      <c r="AJ54" s="948">
        <f t="shared" si="88"/>
        <v>6667.7423081871002</v>
      </c>
      <c r="AK54" s="465">
        <f t="shared" si="89"/>
        <v>1647.4144068093724</v>
      </c>
      <c r="AL54" s="465">
        <f t="shared" si="90"/>
        <v>95.667531744697669</v>
      </c>
      <c r="AM54" s="465">
        <f t="shared" si="91"/>
        <v>6058.7371195449232</v>
      </c>
      <c r="AN54" s="986">
        <f t="shared" si="92"/>
        <v>14469.561366286092</v>
      </c>
      <c r="AO54" s="1201" t="str">
        <f>IF(OR('Recycling - Case 2'!AC124="No",'Recycling - Case 2'!T164="No"), "No", "Yes")</f>
        <v>No</v>
      </c>
      <c r="AP54" s="948">
        <f t="shared" si="93"/>
        <v>6667.7423081871002</v>
      </c>
      <c r="AQ54" s="465">
        <f t="shared" si="94"/>
        <v>1647.4144068093724</v>
      </c>
      <c r="AR54" s="465">
        <f t="shared" si="95"/>
        <v>95.667531744697669</v>
      </c>
      <c r="AS54" s="465">
        <f t="shared" si="96"/>
        <v>6058.7371195449232</v>
      </c>
      <c r="AT54" s="986">
        <f t="shared" si="37"/>
        <v>14469.561366286092</v>
      </c>
      <c r="AU54" s="1206" t="str">
        <f>IF(OR('Recycling - Case 2'!AC124="No",'Recycling - Case 2'!T204="No"), "No", "Yes")</f>
        <v>No</v>
      </c>
      <c r="AV54" s="948">
        <f t="shared" si="63"/>
        <v>6669.1429035100791</v>
      </c>
      <c r="AW54" s="465">
        <f t="shared" si="64"/>
        <v>1000.509581506524</v>
      </c>
      <c r="AX54" s="465">
        <f t="shared" si="65"/>
        <v>95.667531744697669</v>
      </c>
      <c r="AY54" s="465">
        <f t="shared" si="66"/>
        <v>6058.7371195449232</v>
      </c>
      <c r="AZ54" s="986">
        <f t="shared" si="67"/>
        <v>13824.057136306224</v>
      </c>
      <c r="BA54" s="1206" t="str">
        <f>IF(OR('Recycling - Case 3'!AC124="No",'Recycling - Case 3'!T164="No"), "No", "Yes")</f>
        <v>No</v>
      </c>
      <c r="BB54" s="948">
        <f t="shared" si="97"/>
        <v>6669.1429035100791</v>
      </c>
      <c r="BC54" s="465">
        <f t="shared" si="98"/>
        <v>1000.509581506524</v>
      </c>
      <c r="BD54" s="465">
        <f t="shared" si="99"/>
        <v>95.667531744697669</v>
      </c>
      <c r="BE54" s="465">
        <f t="shared" si="100"/>
        <v>6058.7371195449232</v>
      </c>
      <c r="BF54" s="986">
        <f t="shared" si="47"/>
        <v>13824.057136306224</v>
      </c>
      <c r="BG54" s="1206" t="str">
        <f>IF(OR('Recycling - Case 3'!AC124="No",'Recycling - Case 3'!T204="No"), "No", "Yes")</f>
        <v>No</v>
      </c>
      <c r="BH54" s="535">
        <f t="shared" si="48"/>
        <v>2044</v>
      </c>
      <c r="BI54" s="465">
        <f>'Recycling - Case 1'!BV124</f>
        <v>82.960567271946303</v>
      </c>
      <c r="BJ54" s="100">
        <f>'Recycling - Case 1'!BW124</f>
        <v>0.73626092065303739</v>
      </c>
      <c r="BK54" s="986">
        <f>'Recycling - Case 1'!BX124</f>
        <v>22.838649509104933</v>
      </c>
      <c r="BL54" s="948">
        <f>'Recycling - Case 1'!BY124</f>
        <v>82.960567271946303</v>
      </c>
      <c r="BM54" s="100">
        <f>'Recycling - Case 1'!BZ124</f>
        <v>0.73626092065303739</v>
      </c>
      <c r="BN54" s="986">
        <f>'Recycling - Case 1'!CA124</f>
        <v>22.838649509104933</v>
      </c>
      <c r="BO54" s="465">
        <f>'Recycling - Case 2'!BV124</f>
        <v>83.244698131368921</v>
      </c>
      <c r="BP54" s="100">
        <f>'Recycling - Case 2'!BW124</f>
        <v>0.80861248392404828</v>
      </c>
      <c r="BQ54" s="986">
        <f>'Recycling - Case 2'!BX124</f>
        <v>22.838649509104933</v>
      </c>
      <c r="BR54" s="948">
        <f>'Recycling - Case 2'!BY124</f>
        <v>83.244698131368921</v>
      </c>
      <c r="BS54" s="100">
        <f>'Recycling - Case 2'!BZ124</f>
        <v>0.80861248392404828</v>
      </c>
      <c r="BT54" s="986">
        <f>'Recycling - Case 2'!CA124</f>
        <v>22.838649509104933</v>
      </c>
      <c r="BU54" s="465">
        <f>'Recycling - Case 3'!BV124</f>
        <v>83.244698131368921</v>
      </c>
      <c r="BV54" s="100">
        <f>'Recycling - Case 3'!BW124</f>
        <v>0.80861248392404828</v>
      </c>
      <c r="BW54" s="986">
        <f>'Recycling - Case 3'!BX124</f>
        <v>22.838649509104933</v>
      </c>
      <c r="BX54" s="948">
        <f>'Recycling - Case 3'!BY124</f>
        <v>83.244698131368921</v>
      </c>
      <c r="BY54" s="100">
        <f>'Recycling - Case 3'!BZ124</f>
        <v>0.80861248392404828</v>
      </c>
      <c r="BZ54" s="986">
        <f>'Recycling - Case 3'!CA124</f>
        <v>22.838649509104933</v>
      </c>
      <c r="CA54" s="535">
        <v>2044</v>
      </c>
      <c r="CB54" s="579">
        <f>'Recycling - Case 1'!CB124</f>
        <v>0.40142626362055789</v>
      </c>
      <c r="CC54" s="100">
        <f>'Recycling - Case 1'!CC124</f>
        <v>0.44730310913265492</v>
      </c>
      <c r="CD54" s="100">
        <f>'Recycling - Case 1'!CD124</f>
        <v>0.40142626362055789</v>
      </c>
      <c r="CE54" s="471">
        <f>'Recycling - Case 1'!CE124</f>
        <v>0.44730310913265492</v>
      </c>
      <c r="CF54" s="579">
        <f>'Recycling - Case 2'!CB124</f>
        <v>0.36396428507300427</v>
      </c>
      <c r="CG54" s="100">
        <f>'Recycling - Case 2'!CC124</f>
        <v>0.45484697697563492</v>
      </c>
      <c r="CH54" s="100">
        <f>'Recycling - Case 2'!CD124</f>
        <v>0.36396428507300427</v>
      </c>
      <c r="CI54" s="471">
        <f>'Recycling - Case 2'!CE124</f>
        <v>0.45484697697563492</v>
      </c>
      <c r="CJ54" s="579">
        <f>'Recycling - Case 3'!CB124</f>
        <v>0.36396428507300427</v>
      </c>
      <c r="CK54" s="100">
        <f>'Recycling - Case 3'!CC124</f>
        <v>0.45484697697563492</v>
      </c>
      <c r="CL54" s="100">
        <f>'Recycling - Case 3'!CD124</f>
        <v>0.36396428507300427</v>
      </c>
      <c r="CM54" s="471">
        <f>'Recycling - Case 3'!CE124</f>
        <v>0.45484697697563492</v>
      </c>
    </row>
    <row r="55" spans="1:91">
      <c r="A55">
        <f>'Input data'!A144</f>
        <v>2044</v>
      </c>
      <c r="C55" s="116">
        <f>'4A SWD Case 1'!BG114</f>
        <v>351.89602474151496</v>
      </c>
      <c r="D55" s="3">
        <f>'4B Biological treatment '!T108</f>
        <v>0.91370738037125498</v>
      </c>
      <c r="E55" s="152">
        <f>'4B Biological treatment '!U108</f>
        <v>41.116832116706469</v>
      </c>
      <c r="F55" s="152">
        <f>'4B Biological treatment '!W108</f>
        <v>2.4670099270023877</v>
      </c>
      <c r="G55" s="688">
        <f>'4C2 Open-burning '!R115</f>
        <v>10.47444933348603</v>
      </c>
      <c r="H55" s="688">
        <f>'4C2 Open-burning '!Z115</f>
        <v>3.5243315215491062</v>
      </c>
      <c r="I55" s="688">
        <f>'4C2 Open-burning '!AH115</f>
        <v>4.9064643190041744E-2</v>
      </c>
      <c r="J55" s="93">
        <f>'4D Wastewater treatment and dis'!AV152</f>
        <v>222.36698151436079</v>
      </c>
      <c r="K55" s="3">
        <f>'4D Wastewater treatment and dis'!AW152</f>
        <v>3.6890867981193103</v>
      </c>
      <c r="L55" s="465">
        <f t="shared" si="69"/>
        <v>7389.8165195718138</v>
      </c>
      <c r="M55" s="688">
        <f t="shared" si="70"/>
        <v>19.187854987796356</v>
      </c>
      <c r="N55" s="465">
        <f t="shared" si="71"/>
        <v>1628.2265518215761</v>
      </c>
      <c r="O55" s="464">
        <f t="shared" si="72"/>
        <v>99.695450674930214</v>
      </c>
      <c r="P55" s="465">
        <f t="shared" si="73"/>
        <v>5813.3235192185621</v>
      </c>
      <c r="Q55" s="465">
        <f t="shared" si="74"/>
        <v>7389.8165195718138</v>
      </c>
      <c r="R55" s="467">
        <f t="shared" si="75"/>
        <v>1647.4144068093724</v>
      </c>
      <c r="S55" s="464">
        <f t="shared" si="76"/>
        <v>99.695450674930214</v>
      </c>
      <c r="T55" s="465">
        <f t="shared" si="77"/>
        <v>5813.3235192185621</v>
      </c>
      <c r="U55" s="465">
        <f t="shared" si="78"/>
        <v>14950.249896274678</v>
      </c>
      <c r="V55" s="3"/>
      <c r="W55" s="535">
        <f t="shared" si="79"/>
        <v>2045</v>
      </c>
      <c r="X55" s="948">
        <f t="shared" si="80"/>
        <v>7142.4353851683636</v>
      </c>
      <c r="Y55" s="465">
        <f t="shared" si="81"/>
        <v>1664.2215573161466</v>
      </c>
      <c r="Z55" s="465">
        <f t="shared" si="82"/>
        <v>93.438067529346228</v>
      </c>
      <c r="AA55" s="465">
        <f t="shared" si="83"/>
        <v>5890.5859696831139</v>
      </c>
      <c r="AB55" s="986">
        <f t="shared" si="22"/>
        <v>14790.680979696972</v>
      </c>
      <c r="AC55" s="1206" t="str">
        <f>IF(OR('Recycling - Case 1'!AC125="No",'Recycling - Case 1'!T165="No"), "No", "Yes")</f>
        <v>Yes</v>
      </c>
      <c r="AD55" s="948">
        <f t="shared" si="84"/>
        <v>7142.4353851683636</v>
      </c>
      <c r="AE55" s="465">
        <f t="shared" si="85"/>
        <v>1664.2215573161466</v>
      </c>
      <c r="AF55" s="465">
        <f t="shared" si="86"/>
        <v>93.438067529346228</v>
      </c>
      <c r="AG55" s="465">
        <f t="shared" si="87"/>
        <v>5890.5859696831139</v>
      </c>
      <c r="AH55" s="986">
        <f t="shared" si="60"/>
        <v>14790.680979696972</v>
      </c>
      <c r="AI55" s="1206" t="str">
        <f>IF(OR('Recycling - Case 1'!AI36="No",'Recycling - Case 1'!Z165="No"), "No", "Yes")</f>
        <v>Yes</v>
      </c>
      <c r="AJ55" s="948">
        <f t="shared" si="88"/>
        <v>6440.7750963206854</v>
      </c>
      <c r="AK55" s="465">
        <f t="shared" si="89"/>
        <v>1664.2215573161466</v>
      </c>
      <c r="AL55" s="465">
        <f t="shared" si="90"/>
        <v>95.48304612493115</v>
      </c>
      <c r="AM55" s="465">
        <f t="shared" si="91"/>
        <v>6096.3675087672291</v>
      </c>
      <c r="AN55" s="986">
        <f t="shared" si="92"/>
        <v>14296.847208528992</v>
      </c>
      <c r="AO55" s="1201" t="str">
        <f>IF(OR('Recycling - Case 2'!AC125="No",'Recycling - Case 2'!T165="No"), "No", "Yes")</f>
        <v>Yes</v>
      </c>
      <c r="AP55" s="948">
        <f t="shared" si="93"/>
        <v>6440.7750963206854</v>
      </c>
      <c r="AQ55" s="465">
        <f t="shared" si="94"/>
        <v>1664.2215573161466</v>
      </c>
      <c r="AR55" s="465">
        <f t="shared" si="95"/>
        <v>95.48304612493115</v>
      </c>
      <c r="AS55" s="465">
        <f t="shared" si="96"/>
        <v>6096.3675087672291</v>
      </c>
      <c r="AT55" s="986">
        <f t="shared" si="37"/>
        <v>14296.847208528992</v>
      </c>
      <c r="AU55" s="1206" t="str">
        <f>IF(OR('Recycling - Case 2'!AC125="No",'Recycling - Case 2'!T205="No"), "No", "Yes")</f>
        <v>Yes</v>
      </c>
      <c r="AV55" s="948">
        <f t="shared" si="63"/>
        <v>6442.2196477602583</v>
      </c>
      <c r="AW55" s="465">
        <f t="shared" si="64"/>
        <v>1010.7169191687079</v>
      </c>
      <c r="AX55" s="465">
        <f t="shared" si="65"/>
        <v>95.483046124931136</v>
      </c>
      <c r="AY55" s="465">
        <f t="shared" si="66"/>
        <v>6096.3675087672291</v>
      </c>
      <c r="AZ55" s="986">
        <f t="shared" si="67"/>
        <v>13644.787121821126</v>
      </c>
      <c r="BA55" s="1206" t="str">
        <f>IF(OR('Recycling - Case 3'!AC125="No",'Recycling - Case 3'!T165="No"), "No", "Yes")</f>
        <v>Yes</v>
      </c>
      <c r="BB55" s="948">
        <f t="shared" si="97"/>
        <v>6442.2196477602583</v>
      </c>
      <c r="BC55" s="465">
        <f t="shared" si="98"/>
        <v>1010.7169191687079</v>
      </c>
      <c r="BD55" s="465">
        <f t="shared" si="99"/>
        <v>95.483046124931136</v>
      </c>
      <c r="BE55" s="465">
        <f t="shared" si="100"/>
        <v>6096.3675087672291</v>
      </c>
      <c r="BF55" s="986">
        <f t="shared" si="47"/>
        <v>13644.787121821126</v>
      </c>
      <c r="BG55" s="1206" t="str">
        <f>IF(OR('Recycling - Case 3'!AC125="No",'Recycling - Case 3'!T205="No"), "No", "Yes")</f>
        <v>Yes</v>
      </c>
      <c r="BH55" s="535">
        <f t="shared" si="48"/>
        <v>2045</v>
      </c>
      <c r="BI55" s="465">
        <f>'Recycling - Case 1'!BV125</f>
        <v>82.322383124055023</v>
      </c>
      <c r="BJ55" s="100">
        <f>'Recycling - Case 1'!BW125</f>
        <v>0.74890702546038057</v>
      </c>
      <c r="BK55" s="986">
        <f>'Recycling - Case 1'!BX125</f>
        <v>20.219203672592339</v>
      </c>
      <c r="BL55" s="948">
        <f>'Recycling - Case 1'!BY125</f>
        <v>82.322383124055023</v>
      </c>
      <c r="BM55" s="100">
        <f>'Recycling - Case 1'!BZ125</f>
        <v>0.74890702546038057</v>
      </c>
      <c r="BN55" s="986">
        <f>'Recycling - Case 1'!CA125</f>
        <v>20.219203672592339</v>
      </c>
      <c r="BO55" s="465">
        <f>'Recycling - Case 2'!BV125</f>
        <v>83.34235916703048</v>
      </c>
      <c r="BP55" s="100">
        <f>'Recycling - Case 2'!BW125</f>
        <v>0.80901970948511648</v>
      </c>
      <c r="BQ55" s="986">
        <f>'Recycling - Case 2'!BX125</f>
        <v>20.219203672592339</v>
      </c>
      <c r="BR55" s="948">
        <f>'Recycling - Case 2'!BY125</f>
        <v>83.34235916703048</v>
      </c>
      <c r="BS55" s="100">
        <f>'Recycling - Case 2'!BZ125</f>
        <v>0.80901970948511648</v>
      </c>
      <c r="BT55" s="986">
        <f>'Recycling - Case 2'!CA125</f>
        <v>20.219203672592339</v>
      </c>
      <c r="BU55" s="465">
        <f>'Recycling - Case 3'!BV125</f>
        <v>83.34235916703048</v>
      </c>
      <c r="BV55" s="100">
        <f>'Recycling - Case 3'!BW125</f>
        <v>0.80901970948511648</v>
      </c>
      <c r="BW55" s="986">
        <f>'Recycling - Case 3'!BX125</f>
        <v>20.219203672592339</v>
      </c>
      <c r="BX55" s="948">
        <f>'Recycling - Case 3'!BY125</f>
        <v>83.34235916703048</v>
      </c>
      <c r="BY55" s="100">
        <f>'Recycling - Case 3'!BZ125</f>
        <v>0.80901970948511648</v>
      </c>
      <c r="BZ55" s="986">
        <f>'Recycling - Case 3'!CA125</f>
        <v>20.219203672592339</v>
      </c>
      <c r="CA55" s="535">
        <v>2045</v>
      </c>
      <c r="CB55" s="579">
        <f>'Recycling - Case 1'!CB125</f>
        <v>0.41059682127280317</v>
      </c>
      <c r="CC55" s="100">
        <f>'Recycling - Case 1'!CC125</f>
        <v>0.45112073345816417</v>
      </c>
      <c r="CD55" s="100">
        <f>'Recycling - Case 1'!CD125</f>
        <v>0.41059682127280317</v>
      </c>
      <c r="CE55" s="471">
        <f>'Recycling - Case 1'!CE125</f>
        <v>0.45112073345816417</v>
      </c>
      <c r="CF55" s="579">
        <f>'Recycling - Case 2'!CB125</f>
        <v>0.36591359792336786</v>
      </c>
      <c r="CG55" s="100">
        <f>'Recycling - Case 2'!CC125</f>
        <v>0.45434689297828268</v>
      </c>
      <c r="CH55" s="100">
        <f>'Recycling - Case 2'!CD125</f>
        <v>0.36591359792336786</v>
      </c>
      <c r="CI55" s="471">
        <f>'Recycling - Case 2'!CE125</f>
        <v>0.45434689297828268</v>
      </c>
      <c r="CJ55" s="579">
        <f>'Recycling - Case 3'!CB125</f>
        <v>0.36591359792336786</v>
      </c>
      <c r="CK55" s="100">
        <f>'Recycling - Case 3'!CC125</f>
        <v>0.45434689297828268</v>
      </c>
      <c r="CL55" s="100">
        <f>'Recycling - Case 3'!CD125</f>
        <v>0.36591359792336786</v>
      </c>
      <c r="CM55" s="471">
        <f>'Recycling - Case 3'!CE125</f>
        <v>0.45434689297828268</v>
      </c>
    </row>
    <row r="56" spans="1:91">
      <c r="A56">
        <f>'Input data'!A145</f>
        <v>2045</v>
      </c>
      <c r="C56" s="116">
        <f>'4A SWD Case 1'!BG115</f>
        <v>340.11597072230302</v>
      </c>
      <c r="D56" s="3">
        <f>'4B Biological treatment '!T109</f>
        <v>0.92302914992576079</v>
      </c>
      <c r="E56" s="152">
        <f>'4B Biological treatment '!U109</f>
        <v>41.53631174665923</v>
      </c>
      <c r="F56" s="152">
        <f>'4B Biological treatment '!W109</f>
        <v>2.4921787047995538</v>
      </c>
      <c r="G56" s="688">
        <f>'4C2 Open-burning '!R116</f>
        <v>9.8170207118697927</v>
      </c>
      <c r="H56" s="688">
        <f>'4C2 Open-burning '!Z116</f>
        <v>3.3031269177974401</v>
      </c>
      <c r="I56" s="688">
        <f>'4C2 Open-burning '!AH116</f>
        <v>4.5985101753968347E-2</v>
      </c>
      <c r="J56" s="93">
        <f>'4D Wastewater treatment and dis'!AV153</f>
        <v>225.70791134560363</v>
      </c>
      <c r="K56" s="3">
        <f>'4D Wastewater treatment and dis'!AW153</f>
        <v>3.711999456211089</v>
      </c>
      <c r="L56" s="465">
        <f t="shared" si="69"/>
        <v>7142.4353851683636</v>
      </c>
      <c r="M56" s="688">
        <f t="shared" si="70"/>
        <v>19.383612148440978</v>
      </c>
      <c r="N56" s="465">
        <f t="shared" si="71"/>
        <v>1644.8379451677056</v>
      </c>
      <c r="O56" s="464">
        <f t="shared" si="72"/>
        <v>93.438067529346228</v>
      </c>
      <c r="P56" s="465">
        <f t="shared" si="73"/>
        <v>5890.5859696831139</v>
      </c>
      <c r="Q56" s="465">
        <f t="shared" si="74"/>
        <v>7142.4353851683636</v>
      </c>
      <c r="R56" s="467">
        <f t="shared" si="75"/>
        <v>1664.2215573161466</v>
      </c>
      <c r="S56" s="464">
        <f t="shared" si="76"/>
        <v>93.438067529346228</v>
      </c>
      <c r="T56" s="465">
        <f t="shared" si="77"/>
        <v>5890.5859696831139</v>
      </c>
      <c r="U56" s="465">
        <f t="shared" si="78"/>
        <v>14790.680979696972</v>
      </c>
      <c r="V56" s="3"/>
      <c r="W56" s="535">
        <f t="shared" si="79"/>
        <v>2046</v>
      </c>
      <c r="X56" s="948">
        <f t="shared" si="80"/>
        <v>6908.1521411150343</v>
      </c>
      <c r="Y56" s="465">
        <f t="shared" si="81"/>
        <v>1681.0760419841331</v>
      </c>
      <c r="Z56" s="465">
        <f t="shared" si="82"/>
        <v>87.227232528263414</v>
      </c>
      <c r="AA56" s="465">
        <f t="shared" si="83"/>
        <v>5962.0228726331479</v>
      </c>
      <c r="AB56" s="986">
        <f t="shared" si="22"/>
        <v>14638.478288260578</v>
      </c>
      <c r="AC56" s="1206" t="str">
        <f>IF(OR('Recycling - Case 1'!AC126="No",'Recycling - Case 1'!T166="No"), "No", "Yes")</f>
        <v>Yes</v>
      </c>
      <c r="AD56" s="948">
        <f t="shared" si="84"/>
        <v>6908.1521411150343</v>
      </c>
      <c r="AE56" s="465">
        <f t="shared" si="85"/>
        <v>1681.0760419841331</v>
      </c>
      <c r="AF56" s="465">
        <f t="shared" si="86"/>
        <v>87.227232528263414</v>
      </c>
      <c r="AG56" s="465">
        <f t="shared" si="87"/>
        <v>5962.0228726331479</v>
      </c>
      <c r="AH56" s="986">
        <f t="shared" si="60"/>
        <v>14638.478288260578</v>
      </c>
      <c r="AI56" s="1206" t="str">
        <f>IF(OR('Recycling - Case 1'!AI37="No",'Recycling - Case 1'!Z166="No"), "No", "Yes")</f>
        <v>Yes</v>
      </c>
      <c r="AJ56" s="948">
        <f t="shared" si="88"/>
        <v>6233.7164522342264</v>
      </c>
      <c r="AK56" s="465">
        <f t="shared" si="89"/>
        <v>1681.0760419841331</v>
      </c>
      <c r="AL56" s="465">
        <f t="shared" si="90"/>
        <v>95.332713212379986</v>
      </c>
      <c r="AM56" s="465">
        <f t="shared" si="91"/>
        <v>6127.4884893628396</v>
      </c>
      <c r="AN56" s="986">
        <f t="shared" si="92"/>
        <v>14137.613696793578</v>
      </c>
      <c r="AO56" s="1201" t="str">
        <f>IF(OR('Recycling - Case 2'!AC126="No",'Recycling - Case 2'!T166="No"), "No", "Yes")</f>
        <v>Yes</v>
      </c>
      <c r="AP56" s="948">
        <f t="shared" si="93"/>
        <v>6233.7164522342264</v>
      </c>
      <c r="AQ56" s="465">
        <f t="shared" si="94"/>
        <v>1681.0760419841331</v>
      </c>
      <c r="AR56" s="465">
        <f t="shared" si="95"/>
        <v>95.332713212379986</v>
      </c>
      <c r="AS56" s="465">
        <f t="shared" si="96"/>
        <v>6127.4884893628396</v>
      </c>
      <c r="AT56" s="986">
        <f t="shared" si="37"/>
        <v>14137.613696793578</v>
      </c>
      <c r="AU56" s="1206" t="str">
        <f>IF(OR('Recycling - Case 2'!AC126="No",'Recycling - Case 2'!T206="No"), "No", "Yes")</f>
        <v>Yes</v>
      </c>
      <c r="AV56" s="948">
        <f t="shared" si="63"/>
        <v>6235.2031795840376</v>
      </c>
      <c r="AW56" s="465">
        <f t="shared" si="64"/>
        <v>1020.9530038672356</v>
      </c>
      <c r="AX56" s="465">
        <f t="shared" si="65"/>
        <v>95.332713212379986</v>
      </c>
      <c r="AY56" s="465">
        <f t="shared" si="66"/>
        <v>6127.4884893628396</v>
      </c>
      <c r="AZ56" s="986">
        <f t="shared" si="67"/>
        <v>13478.977386026494</v>
      </c>
      <c r="BA56" s="1206" t="str">
        <f>IF(OR('Recycling - Case 3'!AC126="No",'Recycling - Case 3'!T166="No"), "No", "Yes")</f>
        <v>Yes</v>
      </c>
      <c r="BB56" s="948">
        <f t="shared" si="97"/>
        <v>6235.2031795840376</v>
      </c>
      <c r="BC56" s="465">
        <f t="shared" si="98"/>
        <v>1020.9530038672356</v>
      </c>
      <c r="BD56" s="465">
        <f t="shared" si="99"/>
        <v>95.332713212379986</v>
      </c>
      <c r="BE56" s="465">
        <f t="shared" si="100"/>
        <v>6127.4884893628396</v>
      </c>
      <c r="BF56" s="986">
        <f t="shared" si="47"/>
        <v>13478.977386026494</v>
      </c>
      <c r="BG56" s="1206" t="str">
        <f>IF(OR('Recycling - Case 3'!AC126="No",'Recycling - Case 3'!T206="No"), "No", "Yes")</f>
        <v>Yes</v>
      </c>
      <c r="BH56" s="535">
        <f t="shared" si="48"/>
        <v>2046</v>
      </c>
      <c r="BI56" s="465">
        <f>'Recycling - Case 1'!BV126</f>
        <v>81.45886392157513</v>
      </c>
      <c r="BJ56" s="100">
        <f>'Recycling - Case 1'!BW126</f>
        <v>0.76039535318329965</v>
      </c>
      <c r="BK56" s="986">
        <f>'Recycling - Case 1'!BX126</f>
        <v>16.217597669678842</v>
      </c>
      <c r="BL56" s="948">
        <f>'Recycling - Case 1'!BY126</f>
        <v>81.45886392157513</v>
      </c>
      <c r="BM56" s="100">
        <f>'Recycling - Case 1'!BZ126</f>
        <v>0.76039535318329965</v>
      </c>
      <c r="BN56" s="986">
        <f>'Recycling - Case 1'!CA126</f>
        <v>16.217597669678842</v>
      </c>
      <c r="BO56" s="465">
        <f>'Recycling - Case 2'!BV126</f>
        <v>82.89483956401763</v>
      </c>
      <c r="BP56" s="100">
        <f>'Recycling - Case 2'!BW126</f>
        <v>0.80798867517412687</v>
      </c>
      <c r="BQ56" s="986">
        <f>'Recycling - Case 2'!BX126</f>
        <v>16.217597669678842</v>
      </c>
      <c r="BR56" s="948">
        <f>'Recycling - Case 2'!BY126</f>
        <v>82.89483956401763</v>
      </c>
      <c r="BS56" s="100">
        <f>'Recycling - Case 2'!BZ126</f>
        <v>0.80798867517412687</v>
      </c>
      <c r="BT56" s="986">
        <f>'Recycling - Case 2'!CA126</f>
        <v>16.217597669678842</v>
      </c>
      <c r="BU56" s="465">
        <f>'Recycling - Case 3'!BV126</f>
        <v>82.89483956401763</v>
      </c>
      <c r="BV56" s="100">
        <f>'Recycling - Case 3'!BW126</f>
        <v>0.80798867517412687</v>
      </c>
      <c r="BW56" s="986">
        <f>'Recycling - Case 3'!BX126</f>
        <v>16.217597669678842</v>
      </c>
      <c r="BX56" s="948">
        <f>'Recycling - Case 3'!BY126</f>
        <v>82.89483956401763</v>
      </c>
      <c r="BY56" s="100">
        <f>'Recycling - Case 3'!BZ126</f>
        <v>0.80798867517412687</v>
      </c>
      <c r="BZ56" s="986">
        <f>'Recycling - Case 3'!CA126</f>
        <v>16.217597669678842</v>
      </c>
      <c r="CA56" s="535">
        <v>2046</v>
      </c>
      <c r="CB56" s="579">
        <f>'Recycling - Case 1'!CB126</f>
        <v>0.41931610360905747</v>
      </c>
      <c r="CC56" s="100">
        <f>'Recycling - Case 1'!CC126</f>
        <v>0.45030920412718844</v>
      </c>
      <c r="CD56" s="100">
        <f>'Recycling - Case 1'!CD126</f>
        <v>0.41931610360905747</v>
      </c>
      <c r="CE56" s="471">
        <f>'Recycling - Case 1'!CE126</f>
        <v>0.45030920412718844</v>
      </c>
      <c r="CF56" s="579">
        <f>'Recycling - Case 2'!CB126</f>
        <v>0.36750697834425616</v>
      </c>
      <c r="CG56" s="100">
        <f>'Recycling - Case 2'!CC126</f>
        <v>0.45196529108273187</v>
      </c>
      <c r="CH56" s="100">
        <f>'Recycling - Case 2'!CD126</f>
        <v>0.36750697834425616</v>
      </c>
      <c r="CI56" s="471">
        <f>'Recycling - Case 2'!CE126</f>
        <v>0.45196529108273187</v>
      </c>
      <c r="CJ56" s="579">
        <f>'Recycling - Case 3'!CB126</f>
        <v>0.36750697834425616</v>
      </c>
      <c r="CK56" s="100">
        <f>'Recycling - Case 3'!CC126</f>
        <v>0.45196529108273187</v>
      </c>
      <c r="CL56" s="100">
        <f>'Recycling - Case 3'!CD126</f>
        <v>0.36750697834425616</v>
      </c>
      <c r="CM56" s="471">
        <f>'Recycling - Case 3'!CE126</f>
        <v>0.45196529108273187</v>
      </c>
    </row>
    <row r="57" spans="1:91">
      <c r="A57">
        <f>'Input data'!A146</f>
        <v>2046</v>
      </c>
      <c r="C57" s="116">
        <f>'4A SWD Case 1'!BG116</f>
        <v>328.95962576738259</v>
      </c>
      <c r="D57" s="3">
        <f>'4B Biological treatment '!T110</f>
        <v>0.93237717248149377</v>
      </c>
      <c r="E57" s="152">
        <f>'4B Biological treatment '!U110</f>
        <v>41.956972761667217</v>
      </c>
      <c r="F57" s="152">
        <f>'4B Biological treatment '!W110</f>
        <v>2.5174183657000331</v>
      </c>
      <c r="G57" s="688">
        <f>'4C2 Open-burning '!R117</f>
        <v>9.1644826462201969</v>
      </c>
      <c r="H57" s="688">
        <f>'4C2 Open-burning '!Z117</f>
        <v>3.0835678364023558</v>
      </c>
      <c r="I57" s="688">
        <f>'4C2 Open-burning '!AH117</f>
        <v>4.2928468766431443E-2</v>
      </c>
      <c r="J57" s="93">
        <f>'4D Wastewater treatment and dis'!AV154</f>
        <v>228.82994288598573</v>
      </c>
      <c r="K57" s="3">
        <f>'4D Wastewater treatment and dis'!AW154</f>
        <v>3.7309486194433799</v>
      </c>
      <c r="L57" s="465">
        <f t="shared" si="69"/>
        <v>6908.1521411150343</v>
      </c>
      <c r="M57" s="688">
        <f t="shared" si="70"/>
        <v>19.57992062211137</v>
      </c>
      <c r="N57" s="465">
        <f t="shared" si="71"/>
        <v>1661.4961213620218</v>
      </c>
      <c r="O57" s="464">
        <f t="shared" si="72"/>
        <v>87.227232528263414</v>
      </c>
      <c r="P57" s="465">
        <f t="shared" si="73"/>
        <v>5962.0228726331479</v>
      </c>
      <c r="Q57" s="465">
        <f t="shared" si="74"/>
        <v>6908.1521411150343</v>
      </c>
      <c r="R57" s="467">
        <f t="shared" si="75"/>
        <v>1681.0760419841331</v>
      </c>
      <c r="S57" s="464">
        <f t="shared" si="76"/>
        <v>87.227232528263414</v>
      </c>
      <c r="T57" s="465">
        <f t="shared" si="77"/>
        <v>5962.0228726331479</v>
      </c>
      <c r="U57" s="465">
        <f t="shared" si="78"/>
        <v>14638.478288260578</v>
      </c>
      <c r="V57" s="3"/>
      <c r="W57" s="535">
        <f t="shared" si="79"/>
        <v>2047</v>
      </c>
      <c r="X57" s="948">
        <f t="shared" si="80"/>
        <v>6692.7818716798565</v>
      </c>
      <c r="Y57" s="465">
        <f t="shared" si="81"/>
        <v>1684.8582086981087</v>
      </c>
      <c r="Z57" s="465">
        <f t="shared" si="82"/>
        <v>81.033572020965295</v>
      </c>
      <c r="AA57" s="465">
        <f t="shared" si="83"/>
        <v>6034.0356184153861</v>
      </c>
      <c r="AB57" s="986">
        <f t="shared" si="22"/>
        <v>14492.709270814317</v>
      </c>
      <c r="AC57" s="1206" t="str">
        <f>IF(OR('Recycling - Case 1'!AC127="No",'Recycling - Case 1'!T167="No"), "No", "Yes")</f>
        <v>Yes</v>
      </c>
      <c r="AD57" s="948">
        <f t="shared" si="84"/>
        <v>6692.7818716798565</v>
      </c>
      <c r="AE57" s="465">
        <f t="shared" si="85"/>
        <v>1684.8582086981087</v>
      </c>
      <c r="AF57" s="465">
        <f t="shared" si="86"/>
        <v>81.033572020965295</v>
      </c>
      <c r="AG57" s="465">
        <f t="shared" si="87"/>
        <v>6034.0356184153861</v>
      </c>
      <c r="AH57" s="986">
        <f t="shared" si="60"/>
        <v>14492.709270814317</v>
      </c>
      <c r="AI57" s="1206" t="str">
        <f>IF(OR('Recycling - Case 1'!AI38="No",'Recycling - Case 1'!Z167="No"), "No", "Yes")</f>
        <v>Yes</v>
      </c>
      <c r="AJ57" s="948">
        <f t="shared" si="88"/>
        <v>6050.3943933179316</v>
      </c>
      <c r="AK57" s="465">
        <f t="shared" si="89"/>
        <v>1684.8582086981087</v>
      </c>
      <c r="AL57" s="465">
        <f t="shared" si="90"/>
        <v>95.183612874715863</v>
      </c>
      <c r="AM57" s="465">
        <f t="shared" si="91"/>
        <v>6158.7683375844354</v>
      </c>
      <c r="AN57" s="986">
        <f t="shared" si="92"/>
        <v>13989.204552475192</v>
      </c>
      <c r="AO57" s="1201" t="str">
        <f>IF(OR('Recycling - Case 2'!AC127="No",'Recycling - Case 2'!T167="No"), "No", "Yes")</f>
        <v>Yes</v>
      </c>
      <c r="AP57" s="948">
        <f t="shared" si="93"/>
        <v>6050.3943933179316</v>
      </c>
      <c r="AQ57" s="465">
        <f t="shared" si="94"/>
        <v>1684.8582086981087</v>
      </c>
      <c r="AR57" s="465">
        <f t="shared" si="95"/>
        <v>95.183612874715863</v>
      </c>
      <c r="AS57" s="465">
        <f t="shared" si="96"/>
        <v>6158.7683375844354</v>
      </c>
      <c r="AT57" s="986">
        <f t="shared" si="37"/>
        <v>13989.204552475192</v>
      </c>
      <c r="AU57" s="1206" t="str">
        <f>IF(OR('Recycling - Case 2'!AC127="No",'Recycling - Case 2'!T207="No"), "No", "Yes")</f>
        <v>Yes</v>
      </c>
      <c r="AV57" s="948">
        <f t="shared" si="63"/>
        <v>6051.9214851856541</v>
      </c>
      <c r="AW57" s="465">
        <f t="shared" si="64"/>
        <v>1023.2499936352905</v>
      </c>
      <c r="AX57" s="465">
        <f t="shared" si="65"/>
        <v>95.183612874715863</v>
      </c>
      <c r="AY57" s="465">
        <f t="shared" si="66"/>
        <v>6158.7683375844354</v>
      </c>
      <c r="AZ57" s="986">
        <f t="shared" si="67"/>
        <v>13329.123429280095</v>
      </c>
      <c r="BA57" s="1206" t="str">
        <f>IF(OR('Recycling - Case 3'!AC127="No",'Recycling - Case 3'!T167="No"), "No", "Yes")</f>
        <v>Yes</v>
      </c>
      <c r="BB57" s="948">
        <f t="shared" si="97"/>
        <v>6051.9214851856541</v>
      </c>
      <c r="BC57" s="465">
        <f t="shared" si="98"/>
        <v>1023.2499936352905</v>
      </c>
      <c r="BD57" s="465">
        <f t="shared" si="99"/>
        <v>95.183612874715863</v>
      </c>
      <c r="BE57" s="465">
        <f t="shared" si="100"/>
        <v>6158.7683375844354</v>
      </c>
      <c r="BF57" s="986">
        <f t="shared" si="47"/>
        <v>13329.123429280095</v>
      </c>
      <c r="BG57" s="1206" t="str">
        <f>IF(OR('Recycling - Case 3'!AC127="No",'Recycling - Case 3'!T207="No"), "No", "Yes")</f>
        <v>Yes</v>
      </c>
      <c r="BH57" s="535">
        <f t="shared" si="48"/>
        <v>2047</v>
      </c>
      <c r="BI57" s="465">
        <f>'Recycling - Case 1'!BV127</f>
        <v>79.794615263463783</v>
      </c>
      <c r="BJ57" s="100">
        <f>'Recycling - Case 1'!BW127</f>
        <v>0.76917104840137818</v>
      </c>
      <c r="BK57" s="986">
        <f>'Recycling - Case 1'!BX127</f>
        <v>12.215991666765346</v>
      </c>
      <c r="BL57" s="948">
        <f>'Recycling - Case 1'!BY127</f>
        <v>79.794615263463783</v>
      </c>
      <c r="BM57" s="100">
        <f>'Recycling - Case 1'!BZ127</f>
        <v>0.76917104840137818</v>
      </c>
      <c r="BN57" s="986">
        <f>'Recycling - Case 1'!CA127</f>
        <v>12.215991666765346</v>
      </c>
      <c r="BO57" s="465">
        <f>'Recycling - Case 2'!BV127</f>
        <v>81.59285580658279</v>
      </c>
      <c r="BP57" s="100">
        <f>'Recycling - Case 2'!BW127</f>
        <v>0.80492473503260931</v>
      </c>
      <c r="BQ57" s="986">
        <f>'Recycling - Case 2'!BX127</f>
        <v>12.215991666765346</v>
      </c>
      <c r="BR57" s="948">
        <f>'Recycling - Case 2'!BY127</f>
        <v>81.59285580658279</v>
      </c>
      <c r="BS57" s="100">
        <f>'Recycling - Case 2'!BZ127</f>
        <v>0.80492473503260931</v>
      </c>
      <c r="BT57" s="986">
        <f>'Recycling - Case 2'!CA127</f>
        <v>12.215991666765346</v>
      </c>
      <c r="BU57" s="465">
        <f>'Recycling - Case 3'!BV127</f>
        <v>81.59285580658279</v>
      </c>
      <c r="BV57" s="100">
        <f>'Recycling - Case 3'!BW127</f>
        <v>0.80492473503260931</v>
      </c>
      <c r="BW57" s="986">
        <f>'Recycling - Case 3'!BX127</f>
        <v>12.215991666765346</v>
      </c>
      <c r="BX57" s="948">
        <f>'Recycling - Case 3'!BY127</f>
        <v>81.59285580658279</v>
      </c>
      <c r="BY57" s="100">
        <f>'Recycling - Case 3'!BZ127</f>
        <v>0.80492473503260931</v>
      </c>
      <c r="BZ57" s="986">
        <f>'Recycling - Case 3'!CA127</f>
        <v>12.215991666765346</v>
      </c>
      <c r="CA57" s="535">
        <v>2047</v>
      </c>
      <c r="CB57" s="579">
        <f>'Recycling - Case 1'!CB127</f>
        <v>0.4279500163115344</v>
      </c>
      <c r="CC57" s="100">
        <f>'Recycling - Case 1'!CC127</f>
        <v>0.4467626894601725</v>
      </c>
      <c r="CD57" s="100">
        <f>'Recycling - Case 1'!CD127</f>
        <v>0.4279500163115344</v>
      </c>
      <c r="CE57" s="471">
        <f>'Recycling - Case 1'!CE127</f>
        <v>0.4467626894601725</v>
      </c>
      <c r="CF57" s="579">
        <f>'Recycling - Case 2'!CB127</f>
        <v>0.36909169159072286</v>
      </c>
      <c r="CG57" s="100">
        <f>'Recycling - Case 2'!CC127</f>
        <v>0.44729098891106789</v>
      </c>
      <c r="CH57" s="100">
        <f>'Recycling - Case 2'!CD127</f>
        <v>0.36909169159072286</v>
      </c>
      <c r="CI57" s="471">
        <f>'Recycling - Case 2'!CE127</f>
        <v>0.44729098891106789</v>
      </c>
      <c r="CJ57" s="579">
        <f>'Recycling - Case 3'!CB127</f>
        <v>0.36909169159072286</v>
      </c>
      <c r="CK57" s="100">
        <f>'Recycling - Case 3'!CC127</f>
        <v>0.44729098891106789</v>
      </c>
      <c r="CL57" s="100">
        <f>'Recycling - Case 3'!CD127</f>
        <v>0.36909169159072286</v>
      </c>
      <c r="CM57" s="471">
        <f>'Recycling - Case 3'!CE127</f>
        <v>0.44729098891106789</v>
      </c>
    </row>
    <row r="58" spans="1:91">
      <c r="A58">
        <f>'Input data'!A147</f>
        <v>2047</v>
      </c>
      <c r="C58" s="116">
        <f>'4A SWD Case 1'!BG117</f>
        <v>318.70389865142175</v>
      </c>
      <c r="D58" s="3">
        <f>'4B Biological treatment '!T111</f>
        <v>0.93447488003222889</v>
      </c>
      <c r="E58" s="152">
        <f>'4B Biological treatment '!U111</f>
        <v>42.051369601450297</v>
      </c>
      <c r="F58" s="152">
        <f>'4B Biological treatment '!W111</f>
        <v>2.5230821760870179</v>
      </c>
      <c r="G58" s="688">
        <f>'4C2 Open-burning '!R118</f>
        <v>8.5137490095967827</v>
      </c>
      <c r="H58" s="688">
        <f>'4C2 Open-burning '!Z118</f>
        <v>2.8646158901313141</v>
      </c>
      <c r="I58" s="688">
        <f>'4C2 Open-burning '!AH118</f>
        <v>3.9880288124551327E-2</v>
      </c>
      <c r="J58" s="93">
        <f>'4D Wastewater treatment and dis'!AV155</f>
        <v>231.97796755845934</v>
      </c>
      <c r="K58" s="3">
        <f>'4D Wastewater treatment and dis'!AW155</f>
        <v>3.74999451512174</v>
      </c>
      <c r="L58" s="465">
        <f t="shared" si="69"/>
        <v>6692.7818716798565</v>
      </c>
      <c r="M58" s="688">
        <f t="shared" si="70"/>
        <v>19.623972480676805</v>
      </c>
      <c r="N58" s="465">
        <f t="shared" si="71"/>
        <v>1665.2342362174318</v>
      </c>
      <c r="O58" s="464">
        <f t="shared" si="72"/>
        <v>81.033572020965295</v>
      </c>
      <c r="P58" s="465">
        <f t="shared" si="73"/>
        <v>6034.0356184153861</v>
      </c>
      <c r="Q58" s="465">
        <f t="shared" si="74"/>
        <v>6692.7818716798565</v>
      </c>
      <c r="R58" s="467">
        <f t="shared" si="75"/>
        <v>1684.8582086981087</v>
      </c>
      <c r="S58" s="464">
        <f t="shared" si="76"/>
        <v>81.033572020965295</v>
      </c>
      <c r="T58" s="465">
        <f t="shared" si="77"/>
        <v>6034.0356184153861</v>
      </c>
      <c r="U58" s="465">
        <f t="shared" si="78"/>
        <v>14492.709270814317</v>
      </c>
      <c r="V58" s="3"/>
      <c r="W58" s="535">
        <f t="shared" si="79"/>
        <v>2048</v>
      </c>
      <c r="X58" s="948">
        <f t="shared" si="80"/>
        <v>6495.5949769390181</v>
      </c>
      <c r="Y58" s="465">
        <f t="shared" si="81"/>
        <v>1687.1182267856855</v>
      </c>
      <c r="Z58" s="465">
        <f t="shared" si="82"/>
        <v>80.926366254145591</v>
      </c>
      <c r="AA58" s="465">
        <f t="shared" si="83"/>
        <v>6106.6282245986458</v>
      </c>
      <c r="AB58" s="986">
        <f t="shared" si="22"/>
        <v>14370.267794577496</v>
      </c>
      <c r="AC58" s="1206" t="str">
        <f>IF(OR('Recycling - Case 1'!AC128="No",'Recycling - Case 1'!T168="No"), "No", "Yes")</f>
        <v>Yes</v>
      </c>
      <c r="AD58" s="948">
        <f t="shared" si="84"/>
        <v>6495.5949769390181</v>
      </c>
      <c r="AE58" s="465">
        <f t="shared" si="85"/>
        <v>1687.1182267856855</v>
      </c>
      <c r="AF58" s="465">
        <f t="shared" si="86"/>
        <v>80.926366254145591</v>
      </c>
      <c r="AG58" s="465">
        <f t="shared" si="87"/>
        <v>6106.6282245986458</v>
      </c>
      <c r="AH58" s="986">
        <f t="shared" si="60"/>
        <v>14370.267794577496</v>
      </c>
      <c r="AI58" s="1206" t="str">
        <f>IF(OR('Recycling - Case 1'!AI39="No",'Recycling - Case 1'!Z168="No"), "No", "Yes")</f>
        <v>Yes</v>
      </c>
      <c r="AJ58" s="948">
        <f t="shared" si="88"/>
        <v>5889.6461958303862</v>
      </c>
      <c r="AK58" s="465">
        <f t="shared" si="89"/>
        <v>1687.1182267856855</v>
      </c>
      <c r="AL58" s="465">
        <f t="shared" si="90"/>
        <v>95.035731924294083</v>
      </c>
      <c r="AM58" s="465">
        <f t="shared" si="91"/>
        <v>6190.2078644258199</v>
      </c>
      <c r="AN58" s="986">
        <f t="shared" si="92"/>
        <v>13862.008018966186</v>
      </c>
      <c r="AO58" s="1201" t="str">
        <f>IF(OR('Recycling - Case 2'!AC128="No",'Recycling - Case 2'!T168="No"), "No", "Yes")</f>
        <v>Yes</v>
      </c>
      <c r="AP58" s="948">
        <f t="shared" si="93"/>
        <v>5889.6461958303862</v>
      </c>
      <c r="AQ58" s="465">
        <f t="shared" si="94"/>
        <v>1687.1182267856855</v>
      </c>
      <c r="AR58" s="465">
        <f t="shared" si="95"/>
        <v>95.035731924294083</v>
      </c>
      <c r="AS58" s="465">
        <f t="shared" si="96"/>
        <v>6190.2078644258199</v>
      </c>
      <c r="AT58" s="986">
        <f t="shared" si="37"/>
        <v>13862.008018966186</v>
      </c>
      <c r="AU58" s="1206" t="str">
        <f>IF(OR('Recycling - Case 2'!AC128="No",'Recycling - Case 2'!T208="No"), "No", "Yes")</f>
        <v>Yes</v>
      </c>
      <c r="AV58" s="948">
        <f t="shared" si="63"/>
        <v>5891.2119496022769</v>
      </c>
      <c r="AW58" s="465">
        <f t="shared" si="64"/>
        <v>1024.6225503773298</v>
      </c>
      <c r="AX58" s="465">
        <f t="shared" si="65"/>
        <v>95.035731924294083</v>
      </c>
      <c r="AY58" s="465">
        <f t="shared" si="66"/>
        <v>6190.2078644258199</v>
      </c>
      <c r="AZ58" s="986">
        <f t="shared" si="67"/>
        <v>13201.07809632972</v>
      </c>
      <c r="BA58" s="1206" t="str">
        <f>IF(OR('Recycling - Case 3'!AC128="No",'Recycling - Case 3'!T168="No"), "No", "Yes")</f>
        <v>Yes</v>
      </c>
      <c r="BB58" s="948">
        <f t="shared" si="97"/>
        <v>5891.2119496022769</v>
      </c>
      <c r="BC58" s="465">
        <f t="shared" si="98"/>
        <v>1024.6225503773298</v>
      </c>
      <c r="BD58" s="465">
        <f t="shared" si="99"/>
        <v>95.035731924294083</v>
      </c>
      <c r="BE58" s="465">
        <f t="shared" si="100"/>
        <v>6190.2078644258199</v>
      </c>
      <c r="BF58" s="986">
        <f t="shared" si="47"/>
        <v>13201.07809632972</v>
      </c>
      <c r="BG58" s="1206" t="str">
        <f>IF(OR('Recycling - Case 3'!AC128="No",'Recycling - Case 3'!T208="No"), "No", "Yes")</f>
        <v>Yes</v>
      </c>
      <c r="BH58" s="535">
        <f t="shared" si="48"/>
        <v>2048</v>
      </c>
      <c r="BI58" s="465">
        <f>'Recycling - Case 1'!BV128</f>
        <v>78.304110051304278</v>
      </c>
      <c r="BJ58" s="100">
        <f>'Recycling - Case 1'!BW128</f>
        <v>0.77603003654322189</v>
      </c>
      <c r="BK58" s="986">
        <f>'Recycling - Case 1'!BX128</f>
        <v>8.2143856638518482</v>
      </c>
      <c r="BL58" s="948">
        <f>'Recycling - Case 1'!BY128</f>
        <v>78.304110051304278</v>
      </c>
      <c r="BM58" s="100">
        <f>'Recycling - Case 1'!BZ128</f>
        <v>0.77603003654322189</v>
      </c>
      <c r="BN58" s="986">
        <f>'Recycling - Case 1'!CA128</f>
        <v>8.2143856638518482</v>
      </c>
      <c r="BO58" s="465">
        <f>'Recycling - Case 2'!BV128</f>
        <v>80.191625382823077</v>
      </c>
      <c r="BP58" s="100">
        <f>'Recycling - Case 2'!BW128</f>
        <v>0.80151608238477512</v>
      </c>
      <c r="BQ58" s="986">
        <f>'Recycling - Case 2'!BX128</f>
        <v>8.2143856638518482</v>
      </c>
      <c r="BR58" s="948">
        <f>'Recycling - Case 2'!BY128</f>
        <v>80.191625382823077</v>
      </c>
      <c r="BS58" s="100">
        <f>'Recycling - Case 2'!BZ128</f>
        <v>0.80151608238477512</v>
      </c>
      <c r="BT58" s="986">
        <f>'Recycling - Case 2'!CA128</f>
        <v>8.2143856638518482</v>
      </c>
      <c r="BU58" s="465">
        <f>'Recycling - Case 3'!BV128</f>
        <v>80.191625382823077</v>
      </c>
      <c r="BV58" s="100">
        <f>'Recycling - Case 3'!BW128</f>
        <v>0.80151608238477512</v>
      </c>
      <c r="BW58" s="986">
        <f>'Recycling - Case 3'!BX128</f>
        <v>8.2143856638518482</v>
      </c>
      <c r="BX58" s="948">
        <f>'Recycling - Case 3'!BY128</f>
        <v>80.191625382823077</v>
      </c>
      <c r="BY58" s="100">
        <f>'Recycling - Case 3'!BZ128</f>
        <v>0.80151608238477512</v>
      </c>
      <c r="BZ58" s="986">
        <f>'Recycling - Case 3'!CA128</f>
        <v>8.2143856638518482</v>
      </c>
      <c r="CA58" s="535">
        <v>2048</v>
      </c>
      <c r="CB58" s="579">
        <f>'Recycling - Case 1'!CB128</f>
        <v>0.42949384463559215</v>
      </c>
      <c r="CC58" s="100">
        <f>'Recycling - Case 1'!CC128</f>
        <v>0.4422390627069317</v>
      </c>
      <c r="CD58" s="100">
        <f>'Recycling - Case 1'!CD128</f>
        <v>0.42949384463559215</v>
      </c>
      <c r="CE58" s="471">
        <f>'Recycling - Case 1'!CE128</f>
        <v>0.4422390627069317</v>
      </c>
      <c r="CF58" s="579">
        <f>'Recycling - Case 2'!CB128</f>
        <v>0.3706677901680655</v>
      </c>
      <c r="CG58" s="100">
        <f>'Recycling - Case 2'!CC128</f>
        <v>0.44203659562877717</v>
      </c>
      <c r="CH58" s="100">
        <f>'Recycling - Case 2'!CD128</f>
        <v>0.3706677901680655</v>
      </c>
      <c r="CI58" s="471">
        <f>'Recycling - Case 2'!CE128</f>
        <v>0.44203659562877717</v>
      </c>
      <c r="CJ58" s="579">
        <f>'Recycling - Case 3'!CB128</f>
        <v>0.3706677901680655</v>
      </c>
      <c r="CK58" s="100">
        <f>'Recycling - Case 3'!CC128</f>
        <v>0.44203659562877717</v>
      </c>
      <c r="CL58" s="100">
        <f>'Recycling - Case 3'!CD128</f>
        <v>0.3706677901680655</v>
      </c>
      <c r="CM58" s="471">
        <f>'Recycling - Case 3'!CE128</f>
        <v>0.44203659562877717</v>
      </c>
    </row>
    <row r="59" spans="1:91">
      <c r="A59">
        <f>'Input data'!A148</f>
        <v>2048</v>
      </c>
      <c r="C59" s="116">
        <f>'4A SWD Case 1'!BG118</f>
        <v>309.31404652090561</v>
      </c>
      <c r="D59" s="3">
        <f>'4B Biological treatment '!T112</f>
        <v>0.93572835650897712</v>
      </c>
      <c r="E59" s="152">
        <f>'4B Biological treatment '!U112</f>
        <v>42.107776042903964</v>
      </c>
      <c r="F59" s="152">
        <f>'4B Biological treatment '!W112</f>
        <v>2.526466562574238</v>
      </c>
      <c r="G59" s="688">
        <f>'4C2 Open-burning '!R119</f>
        <v>8.502485492904615</v>
      </c>
      <c r="H59" s="688">
        <f>'4C2 Open-burning '!Z119</f>
        <v>2.8608260616011587</v>
      </c>
      <c r="I59" s="688">
        <f>'4C2 Open-burning '!AH119</f>
        <v>3.9827527314892378E-2</v>
      </c>
      <c r="J59" s="93">
        <f>'4D Wastewater treatment and dis'!AV156</f>
        <v>235.15216938634282</v>
      </c>
      <c r="K59" s="3">
        <f>'4D Wastewater treatment and dis'!AW156</f>
        <v>3.769137637049826</v>
      </c>
      <c r="L59" s="465">
        <f t="shared" si="69"/>
        <v>6495.5949769390181</v>
      </c>
      <c r="M59" s="688">
        <f t="shared" si="70"/>
        <v>19.65029548668852</v>
      </c>
      <c r="N59" s="465">
        <f t="shared" si="71"/>
        <v>1667.467931298997</v>
      </c>
      <c r="O59" s="464">
        <f t="shared" si="72"/>
        <v>80.926366254145591</v>
      </c>
      <c r="P59" s="465">
        <f t="shared" si="73"/>
        <v>6106.6282245986458</v>
      </c>
      <c r="Q59" s="465">
        <f t="shared" si="74"/>
        <v>6495.5949769390181</v>
      </c>
      <c r="R59" s="467">
        <f t="shared" si="75"/>
        <v>1687.1182267856855</v>
      </c>
      <c r="S59" s="464">
        <f t="shared" si="76"/>
        <v>80.926366254145591</v>
      </c>
      <c r="T59" s="465">
        <f t="shared" si="77"/>
        <v>6106.6282245986458</v>
      </c>
      <c r="U59" s="465">
        <f t="shared" si="78"/>
        <v>14370.267794577496</v>
      </c>
      <c r="V59" s="3"/>
      <c r="W59" s="535">
        <f t="shared" si="79"/>
        <v>2049</v>
      </c>
      <c r="X59" s="948">
        <f t="shared" si="80"/>
        <v>6321.8508363284409</v>
      </c>
      <c r="Y59" s="465">
        <f t="shared" si="81"/>
        <v>1689.4572526308339</v>
      </c>
      <c r="Z59" s="465">
        <f t="shared" si="82"/>
        <v>80.81998611074799</v>
      </c>
      <c r="AA59" s="465">
        <f t="shared" si="83"/>
        <v>6179.8047347637312</v>
      </c>
      <c r="AB59" s="986">
        <f t="shared" si="22"/>
        <v>14271.932809833754</v>
      </c>
      <c r="AC59" s="1206" t="str">
        <f>IF(OR('Recycling - Case 1'!AC129="No",'Recycling - Case 1'!T169="No"), "No", "Yes")</f>
        <v>Yes</v>
      </c>
      <c r="AD59" s="948">
        <f t="shared" si="84"/>
        <v>6321.8508363284409</v>
      </c>
      <c r="AE59" s="465">
        <f t="shared" si="85"/>
        <v>1689.4572526308339</v>
      </c>
      <c r="AF59" s="465">
        <f t="shared" si="86"/>
        <v>80.81998611074799</v>
      </c>
      <c r="AG59" s="465">
        <f t="shared" si="87"/>
        <v>6179.8047347637312</v>
      </c>
      <c r="AH59" s="986">
        <f t="shared" si="60"/>
        <v>14271.932809833754</v>
      </c>
      <c r="AI59" s="1206" t="str">
        <f>IF(OR('Recycling - Case 1'!AI40="No",'Recycling - Case 1'!Z169="No"), "No", "Yes")</f>
        <v>Yes</v>
      </c>
      <c r="AJ59" s="948">
        <f t="shared" si="88"/>
        <v>5750.3804947589115</v>
      </c>
      <c r="AK59" s="465">
        <f t="shared" si="89"/>
        <v>1689.4572526308339</v>
      </c>
      <c r="AL59" s="465">
        <f t="shared" si="90"/>
        <v>94.889057356937755</v>
      </c>
      <c r="AM59" s="465">
        <f t="shared" si="91"/>
        <v>6221.8078850207985</v>
      </c>
      <c r="AN59" s="986">
        <f t="shared" si="92"/>
        <v>13756.534689767483</v>
      </c>
      <c r="AO59" s="1201" t="str">
        <f>IF(OR('Recycling - Case 2'!AC129="No",'Recycling - Case 2'!T169="No"), "No", "Yes")</f>
        <v>Yes</v>
      </c>
      <c r="AP59" s="948">
        <f t="shared" si="93"/>
        <v>5750.3804947589115</v>
      </c>
      <c r="AQ59" s="465">
        <f t="shared" si="94"/>
        <v>1689.4572526308339</v>
      </c>
      <c r="AR59" s="465">
        <f t="shared" si="95"/>
        <v>94.889057356937755</v>
      </c>
      <c r="AS59" s="465">
        <f t="shared" si="96"/>
        <v>6221.8078850207985</v>
      </c>
      <c r="AT59" s="986">
        <f t="shared" si="37"/>
        <v>13756.534689767483</v>
      </c>
      <c r="AU59" s="1206" t="str">
        <f>IF(OR('Recycling - Case 2'!AC129="No",'Recycling - Case 2'!T209="No"), "No", "Yes")</f>
        <v>Yes</v>
      </c>
      <c r="AV59" s="948">
        <f t="shared" si="63"/>
        <v>5751.983310281832</v>
      </c>
      <c r="AW59" s="465">
        <f t="shared" si="64"/>
        <v>1026.0430902000903</v>
      </c>
      <c r="AX59" s="465">
        <f t="shared" si="65"/>
        <v>94.889057356937755</v>
      </c>
      <c r="AY59" s="465">
        <f t="shared" si="66"/>
        <v>6221.8078850207985</v>
      </c>
      <c r="AZ59" s="986">
        <f t="shared" si="67"/>
        <v>13094.723342859659</v>
      </c>
      <c r="BA59" s="1206" t="str">
        <f>IF(OR('Recycling - Case 3'!AC129="No",'Recycling - Case 3'!T169="No"), "No", "Yes")</f>
        <v>Yes</v>
      </c>
      <c r="BB59" s="948">
        <f t="shared" si="97"/>
        <v>5751.983310281832</v>
      </c>
      <c r="BC59" s="465">
        <f t="shared" si="98"/>
        <v>1026.0430902000903</v>
      </c>
      <c r="BD59" s="465">
        <f t="shared" si="99"/>
        <v>94.889057356937755</v>
      </c>
      <c r="BE59" s="465">
        <f t="shared" si="100"/>
        <v>6221.8078850207985</v>
      </c>
      <c r="BF59" s="986">
        <f t="shared" si="47"/>
        <v>13094.723342859659</v>
      </c>
      <c r="BG59" s="1206" t="str">
        <f>IF(OR('Recycling - Case 3'!AC129="No",'Recycling - Case 3'!T209="No"), "No", "Yes")</f>
        <v>Yes</v>
      </c>
      <c r="BH59" s="535">
        <f t="shared" si="48"/>
        <v>2049</v>
      </c>
      <c r="BI59" s="465">
        <f>'Recycling - Case 1'!BV129</f>
        <v>76.866959264081899</v>
      </c>
      <c r="BJ59" s="100">
        <f>'Recycling - Case 1'!BW129</f>
        <v>0.78268184830591203</v>
      </c>
      <c r="BK59" s="986">
        <f>'Recycling - Case 1'!BX129</f>
        <v>4.2127796609383523</v>
      </c>
      <c r="BL59" s="948">
        <f>'Recycling - Case 1'!BY129</f>
        <v>76.866959264081899</v>
      </c>
      <c r="BM59" s="100">
        <f>'Recycling - Case 1'!BZ129</f>
        <v>0.78268184830591203</v>
      </c>
      <c r="BN59" s="986">
        <f>'Recycling - Case 1'!CA129</f>
        <v>4.2127796609383523</v>
      </c>
      <c r="BO59" s="465">
        <f>'Recycling - Case 2'!BV129</f>
        <v>78.79584232579802</v>
      </c>
      <c r="BP59" s="100">
        <f>'Recycling - Case 2'!BW129</f>
        <v>0.79800015462612761</v>
      </c>
      <c r="BQ59" s="986">
        <f>'Recycling - Case 2'!BX129</f>
        <v>4.2127796609383523</v>
      </c>
      <c r="BR59" s="948">
        <f>'Recycling - Case 2'!BY129</f>
        <v>78.79584232579802</v>
      </c>
      <c r="BS59" s="100">
        <f>'Recycling - Case 2'!BZ129</f>
        <v>0.79800015462612761</v>
      </c>
      <c r="BT59" s="986">
        <f>'Recycling - Case 2'!CA129</f>
        <v>4.2127796609383523</v>
      </c>
      <c r="BU59" s="465">
        <f>'Recycling - Case 3'!BV129</f>
        <v>78.79584232579802</v>
      </c>
      <c r="BV59" s="100">
        <f>'Recycling - Case 3'!BW129</f>
        <v>0.79800015462612761</v>
      </c>
      <c r="BW59" s="986">
        <f>'Recycling - Case 3'!BX129</f>
        <v>4.2127796609383523</v>
      </c>
      <c r="BX59" s="948">
        <f>'Recycling - Case 3'!BY129</f>
        <v>78.79584232579802</v>
      </c>
      <c r="BY59" s="100">
        <f>'Recycling - Case 3'!BZ129</f>
        <v>0.79800015462612761</v>
      </c>
      <c r="BZ59" s="986">
        <f>'Recycling - Case 3'!CA129</f>
        <v>4.2127796609383523</v>
      </c>
      <c r="CA59" s="535">
        <v>2049</v>
      </c>
      <c r="CB59" s="579">
        <f>'Recycling - Case 1'!CB129</f>
        <v>0.43102944159952994</v>
      </c>
      <c r="CC59" s="100">
        <f>'Recycling - Case 1'!CC129</f>
        <v>0.43695449014514709</v>
      </c>
      <c r="CD59" s="100">
        <f>'Recycling - Case 1'!CD129</f>
        <v>0.43102944159952994</v>
      </c>
      <c r="CE59" s="471">
        <f>'Recycling - Case 1'!CE129</f>
        <v>0.43695449014514709</v>
      </c>
      <c r="CF59" s="579">
        <f>'Recycling - Case 2'!CB129</f>
        <v>0.37223532617222466</v>
      </c>
      <c r="CG59" s="100">
        <f>'Recycling - Case 2'!CC129</f>
        <v>0.43642990435828954</v>
      </c>
      <c r="CH59" s="100">
        <f>'Recycling - Case 2'!CD129</f>
        <v>0.37223532617222466</v>
      </c>
      <c r="CI59" s="471">
        <f>'Recycling - Case 2'!CE129</f>
        <v>0.43642990435828954</v>
      </c>
      <c r="CJ59" s="579">
        <f>'Recycling - Case 3'!CB129</f>
        <v>0.37223532617222466</v>
      </c>
      <c r="CK59" s="100">
        <f>'Recycling - Case 3'!CC129</f>
        <v>0.43642990435828954</v>
      </c>
      <c r="CL59" s="100">
        <f>'Recycling - Case 3'!CD129</f>
        <v>0.37223532617222466</v>
      </c>
      <c r="CM59" s="471">
        <f>'Recycling - Case 3'!CE129</f>
        <v>0.43642990435828954</v>
      </c>
    </row>
    <row r="60" spans="1:91" ht="15" thickBot="1">
      <c r="A60">
        <f>'Input data'!A149</f>
        <v>2049</v>
      </c>
      <c r="C60" s="116">
        <f>'4A SWD Case 1'!BG119</f>
        <v>301.04051601564004</v>
      </c>
      <c r="D60" s="3">
        <f>'4B Biological treatment '!T113</f>
        <v>0.93702565315076758</v>
      </c>
      <c r="E60" s="152">
        <f>'4B Biological treatment '!U113</f>
        <v>42.166154391784538</v>
      </c>
      <c r="F60" s="152">
        <f>'4B Biological treatment '!W113</f>
        <v>2.5299692635070721</v>
      </c>
      <c r="G60" s="688">
        <f>'4C2 Open-burning '!R120</f>
        <v>8.491308719896784</v>
      </c>
      <c r="H60" s="688">
        <f>'4C2 Open-burning '!Z120</f>
        <v>2.8570654196650942</v>
      </c>
      <c r="I60" s="688">
        <f>'4C2 Open-burning '!AH120</f>
        <v>3.9775172831884656E-2</v>
      </c>
      <c r="J60" s="93">
        <f>'4D Wastewater treatment and dis'!AV157</f>
        <v>238.35273359440882</v>
      </c>
      <c r="K60" s="3">
        <f>'4D Wastewater treatment and dis'!AW157</f>
        <v>3.7883784815520856</v>
      </c>
      <c r="L60" s="465">
        <f t="shared" si="69"/>
        <v>6321.8508363284409</v>
      </c>
      <c r="M60" s="688">
        <f t="shared" si="70"/>
        <v>19.677538716166119</v>
      </c>
      <c r="N60" s="465">
        <f t="shared" si="71"/>
        <v>1669.7797139146678</v>
      </c>
      <c r="O60" s="464">
        <f t="shared" si="72"/>
        <v>80.81998611074799</v>
      </c>
      <c r="P60" s="465">
        <f t="shared" si="73"/>
        <v>6179.8047347637312</v>
      </c>
      <c r="Q60" s="465">
        <f t="shared" si="74"/>
        <v>6321.8508363284409</v>
      </c>
      <c r="R60" s="467">
        <f t="shared" si="75"/>
        <v>1689.4572526308339</v>
      </c>
      <c r="S60" s="464">
        <f t="shared" si="76"/>
        <v>80.81998611074799</v>
      </c>
      <c r="T60" s="465">
        <f t="shared" si="77"/>
        <v>6179.8047347637312</v>
      </c>
      <c r="U60" s="465">
        <f t="shared" si="78"/>
        <v>14271.932809833754</v>
      </c>
      <c r="V60" s="3"/>
      <c r="W60" s="987">
        <f t="shared" si="79"/>
        <v>2050</v>
      </c>
      <c r="X60" s="991">
        <f t="shared" si="80"/>
        <v>6170.6988144458865</v>
      </c>
      <c r="Y60" s="988">
        <f t="shared" si="81"/>
        <v>1691.1680269605888</v>
      </c>
      <c r="Z60" s="988">
        <f t="shared" si="82"/>
        <v>80.714423453015158</v>
      </c>
      <c r="AA60" s="988">
        <f t="shared" si="83"/>
        <v>6253.5692186643009</v>
      </c>
      <c r="AB60" s="989">
        <f t="shared" si="22"/>
        <v>14196.15048352379</v>
      </c>
      <c r="AC60" s="1206" t="str">
        <f>IF(OR('Recycling - Case 1'!AC130="No",'Recycling - Case 1'!T170="No"), "No", "Yes")</f>
        <v>Yes</v>
      </c>
      <c r="AD60" s="991">
        <f t="shared" si="84"/>
        <v>6170.6988144458865</v>
      </c>
      <c r="AE60" s="988">
        <f t="shared" si="85"/>
        <v>1691.1680269605888</v>
      </c>
      <c r="AF60" s="988">
        <f t="shared" si="86"/>
        <v>80.714423453015158</v>
      </c>
      <c r="AG60" s="988">
        <f t="shared" si="87"/>
        <v>6253.5692186643009</v>
      </c>
      <c r="AH60" s="989">
        <f t="shared" si="60"/>
        <v>14196.15048352379</v>
      </c>
      <c r="AI60" s="1206" t="str">
        <f>IF(OR('Recycling - Case 1'!AI41="No",'Recycling - Case 1'!Z170="No"), "No", "Yes")</f>
        <v>Yes</v>
      </c>
      <c r="AJ60" s="991">
        <f t="shared" si="88"/>
        <v>5631.5720793337459</v>
      </c>
      <c r="AK60" s="988">
        <f t="shared" si="89"/>
        <v>1691.1680269605888</v>
      </c>
      <c r="AL60" s="988">
        <f t="shared" si="90"/>
        <v>94.743576348754203</v>
      </c>
      <c r="AM60" s="988">
        <f t="shared" si="91"/>
        <v>6253.5692186643009</v>
      </c>
      <c r="AN60" s="989">
        <f t="shared" si="92"/>
        <v>13671.05290130739</v>
      </c>
      <c r="AO60" s="1201" t="str">
        <f>IF(OR('Recycling - Case 2'!AC130="No",'Recycling - Case 2'!T170="No"), "No", "Yes")</f>
        <v>Yes</v>
      </c>
      <c r="AP60" s="991">
        <f t="shared" si="93"/>
        <v>5631.5720793337459</v>
      </c>
      <c r="AQ60" s="988">
        <f t="shared" si="94"/>
        <v>1691.1680269605888</v>
      </c>
      <c r="AR60" s="988">
        <f t="shared" si="95"/>
        <v>94.743576348754203</v>
      </c>
      <c r="AS60" s="988">
        <f t="shared" si="96"/>
        <v>6253.5692186643009</v>
      </c>
      <c r="AT60" s="989">
        <f t="shared" si="37"/>
        <v>13671.05290130739</v>
      </c>
      <c r="AU60" s="1206" t="str">
        <f>IF(OR('Recycling - Case 2'!AC130="No",'Recycling - Case 2'!T210="No"), "No", "Yes")</f>
        <v>Yes</v>
      </c>
      <c r="AV60" s="991">
        <f t="shared" si="63"/>
        <v>5633.2104529652133</v>
      </c>
      <c r="AW60" s="988">
        <f t="shared" si="64"/>
        <v>1027.0820796016887</v>
      </c>
      <c r="AX60" s="988">
        <f t="shared" si="65"/>
        <v>94.743576348754203</v>
      </c>
      <c r="AY60" s="988">
        <f t="shared" si="66"/>
        <v>6253.5692186643009</v>
      </c>
      <c r="AZ60" s="989">
        <f t="shared" si="67"/>
        <v>13008.605327579957</v>
      </c>
      <c r="BA60" s="1206" t="str">
        <f>IF(OR('Recycling - Case 3'!AC130="No",'Recycling - Case 3'!T170="No"), "No", "Yes")</f>
        <v>Yes</v>
      </c>
      <c r="BB60" s="991">
        <f t="shared" si="97"/>
        <v>5633.2104529652133</v>
      </c>
      <c r="BC60" s="988">
        <f t="shared" si="98"/>
        <v>1027.0820796016887</v>
      </c>
      <c r="BD60" s="988">
        <f t="shared" si="99"/>
        <v>94.743576348754203</v>
      </c>
      <c r="BE60" s="988">
        <f t="shared" si="100"/>
        <v>6253.5692186643009</v>
      </c>
      <c r="BF60" s="989">
        <f t="shared" si="47"/>
        <v>13008.605327579957</v>
      </c>
      <c r="BG60" s="1206" t="str">
        <f>IF(OR('Recycling - Case 3'!AC130="No",'Recycling - Case 3'!T210="No"), "No", "Yes")</f>
        <v>Yes</v>
      </c>
      <c r="BH60" s="987">
        <f t="shared" si="48"/>
        <v>2050</v>
      </c>
      <c r="BI60" s="988">
        <f>'Recycling - Case 1'!BV130</f>
        <v>75.434309356233953</v>
      </c>
      <c r="BJ60" s="581">
        <f>'Recycling - Case 1'!BW130</f>
        <v>0.78899855912050099</v>
      </c>
      <c r="BK60" s="989">
        <f>'Recycling - Case 1'!BX130</f>
        <v>0.21117365802485455</v>
      </c>
      <c r="BL60" s="991">
        <f>'Recycling - Case 1'!BY130</f>
        <v>75.434309356233953</v>
      </c>
      <c r="BM60" s="581">
        <f>'Recycling - Case 1'!BZ130</f>
        <v>0.78899855912050099</v>
      </c>
      <c r="BN60" s="989">
        <f>'Recycling - Case 1'!CA130</f>
        <v>0.21117365802485455</v>
      </c>
      <c r="BO60" s="988">
        <f>'Recycling - Case 2'!BV130</f>
        <v>77.359263236759531</v>
      </c>
      <c r="BP60" s="581">
        <f>'Recycling - Case 2'!BW130</f>
        <v>0.79424897161699004</v>
      </c>
      <c r="BQ60" s="989">
        <f>'Recycling - Case 2'!BX130</f>
        <v>0.21117365802485455</v>
      </c>
      <c r="BR60" s="991">
        <f>'Recycling - Case 2'!BY130</f>
        <v>77.359263236759531</v>
      </c>
      <c r="BS60" s="581">
        <f>'Recycling - Case 2'!BZ130</f>
        <v>0.79424897161699004</v>
      </c>
      <c r="BT60" s="989">
        <f>'Recycling - Case 2'!CA130</f>
        <v>0.21117365802485455</v>
      </c>
      <c r="BU60" s="988">
        <f>'Recycling - Case 3'!BV130</f>
        <v>77.359263236759531</v>
      </c>
      <c r="BV60" s="581">
        <f>'Recycling - Case 3'!BW130</f>
        <v>0.79424897161699004</v>
      </c>
      <c r="BW60" s="989">
        <f>'Recycling - Case 3'!BX130</f>
        <v>0.21117365802485455</v>
      </c>
      <c r="BX60" s="991">
        <f>'Recycling - Case 3'!BY130</f>
        <v>77.359263236759531</v>
      </c>
      <c r="BY60" s="581">
        <f>'Recycling - Case 3'!BZ130</f>
        <v>0.79424897161699004</v>
      </c>
      <c r="BZ60" s="989">
        <f>'Recycling - Case 3'!CA130</f>
        <v>0.21117365802485455</v>
      </c>
      <c r="CA60" s="987">
        <v>2050</v>
      </c>
      <c r="CB60" s="580">
        <f>'Recycling - Case 1'!CB130</f>
        <v>0.43255685448712144</v>
      </c>
      <c r="CC60" s="581">
        <f>'Recycling - Case 1'!CC130</f>
        <v>0.43069996963844281</v>
      </c>
      <c r="CD60" s="581">
        <f>'Recycling - Case 1'!CD130</f>
        <v>0.43255685448712144</v>
      </c>
      <c r="CE60" s="582">
        <f>'Recycling - Case 1'!CE130</f>
        <v>0.43069996963844281</v>
      </c>
      <c r="CF60" s="580">
        <f>'Recycling - Case 2'!CB130</f>
        <v>0.37379435129462157</v>
      </c>
      <c r="CG60" s="581">
        <f>'Recycling - Case 2'!CC130</f>
        <v>0.43028001041466668</v>
      </c>
      <c r="CH60" s="581">
        <f>'Recycling - Case 2'!CD130</f>
        <v>0.37379435129462157</v>
      </c>
      <c r="CI60" s="582">
        <f>'Recycling - Case 2'!CE130</f>
        <v>0.43028001041466668</v>
      </c>
      <c r="CJ60" s="580">
        <f>'Recycling - Case 3'!CB130</f>
        <v>0.37379435129462157</v>
      </c>
      <c r="CK60" s="581">
        <f>'Recycling - Case 3'!CC130</f>
        <v>0.43028001041466668</v>
      </c>
      <c r="CL60" s="581">
        <f>'Recycling - Case 3'!CD130</f>
        <v>0.37379435129462157</v>
      </c>
      <c r="CM60" s="582">
        <f>'Recycling - Case 3'!CE130</f>
        <v>0.43028001041466668</v>
      </c>
    </row>
    <row r="61" spans="1:91">
      <c r="A61">
        <f>'Input data'!A150</f>
        <v>2050</v>
      </c>
      <c r="C61" s="116">
        <f>'4A SWD Case 1'!BG120</f>
        <v>293.84280068789934</v>
      </c>
      <c r="D61" s="3">
        <f>'4B Biological treatment '!T114</f>
        <v>0.9379745019193505</v>
      </c>
      <c r="E61" s="152">
        <f>'4B Biological treatment '!U114</f>
        <v>42.208852586370767</v>
      </c>
      <c r="F61" s="152">
        <f>'4B Biological treatment '!W114</f>
        <v>2.5325311551822463</v>
      </c>
      <c r="G61" s="688">
        <f>'4C2 Open-burning '!R121</f>
        <v>8.480217835584158</v>
      </c>
      <c r="H61" s="688">
        <f>'4C2 Open-burning '!Z121</f>
        <v>2.8533336766454509</v>
      </c>
      <c r="I61" s="688">
        <f>'4C2 Open-burning '!AH121</f>
        <v>3.9723220670569465E-2</v>
      </c>
      <c r="J61" s="93">
        <f>'4D Wastewater treatment and dis'!AV158</f>
        <v>241.57984661635467</v>
      </c>
      <c r="K61" s="3">
        <f>'4D Wastewater treatment and dis'!AW158</f>
        <v>3.8077175474866229</v>
      </c>
      <c r="L61" s="465">
        <f t="shared" si="69"/>
        <v>6170.6988144458865</v>
      </c>
      <c r="M61" s="688">
        <f t="shared" si="70"/>
        <v>19.69746454030636</v>
      </c>
      <c r="N61" s="465">
        <f t="shared" si="71"/>
        <v>1671.4705624202825</v>
      </c>
      <c r="O61" s="464">
        <f t="shared" si="72"/>
        <v>80.714423453015158</v>
      </c>
      <c r="P61" s="465">
        <f t="shared" si="73"/>
        <v>6253.5692186643009</v>
      </c>
      <c r="Q61" s="417">
        <f t="shared" si="74"/>
        <v>6170.6988144458865</v>
      </c>
      <c r="R61" s="463">
        <f t="shared" si="75"/>
        <v>1691.1680269605888</v>
      </c>
      <c r="S61" s="460">
        <f t="shared" si="76"/>
        <v>80.714423453015158</v>
      </c>
      <c r="T61" s="417">
        <f t="shared" si="77"/>
        <v>6253.5692186643009</v>
      </c>
      <c r="U61" s="417">
        <f t="shared" si="78"/>
        <v>14196.15048352379</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0.42961291719026418</v>
      </c>
      <c r="E64" s="152">
        <f>'4B Biological treatment '!U117</f>
        <v>24.145627780809392</v>
      </c>
      <c r="F64" s="152">
        <f>'4B Biological treatment '!W117</f>
        <v>1.4487376668485634</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9.0218712609955478</v>
      </c>
      <c r="N64" s="465">
        <f t="shared" si="103"/>
        <v>956.16686012005187</v>
      </c>
      <c r="O64" s="464">
        <f t="shared" si="104"/>
        <v>304.9221239283998</v>
      </c>
      <c r="P64" s="465">
        <f t="shared" si="105"/>
        <v>3821.6612855587077</v>
      </c>
      <c r="Q64" s="465">
        <f t="shared" si="106"/>
        <v>16834.009318398883</v>
      </c>
      <c r="R64" s="467">
        <f t="shared" si="107"/>
        <v>965.18873138104743</v>
      </c>
      <c r="S64" s="464">
        <f t="shared" si="108"/>
        <v>304.9221239283998</v>
      </c>
      <c r="T64" s="465">
        <f t="shared" si="109"/>
        <v>3821.6612855587077</v>
      </c>
      <c r="U64" s="465">
        <f t="shared" si="110"/>
        <v>21925.78145926704</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781.04358252988789</v>
      </c>
      <c r="D65" s="3">
        <f>'4B Biological treatment '!T118</f>
        <v>0.4767284710910733</v>
      </c>
      <c r="E65" s="152">
        <f>'4B Biological treatment '!U118</f>
        <v>24.904157708220801</v>
      </c>
      <c r="F65" s="152">
        <f>'4B Biological treatment '!W118</f>
        <v>1.4942494624932481</v>
      </c>
      <c r="G65" s="688">
        <f>'4C2 Open-burning '!R91</f>
        <v>31.199856234261556</v>
      </c>
      <c r="H65" s="688">
        <f>'4C2 Open-burning '!Z91</f>
        <v>10.497796427605877</v>
      </c>
      <c r="I65" s="688">
        <f>'4C2 Open-burning '!AH91</f>
        <v>0.14614704458216801</v>
      </c>
      <c r="J65" s="93">
        <f>'4D Wastewater treatment and dis'!AV128</f>
        <v>142.36131561162929</v>
      </c>
      <c r="K65" s="3">
        <f>'4D Wastewater treatment and dis'!AW128</f>
        <v>2.9904262793007734</v>
      </c>
      <c r="L65" s="465">
        <f t="shared" si="101"/>
        <v>16401.915233127645</v>
      </c>
      <c r="M65" s="688">
        <f t="shared" si="102"/>
        <v>10.011297892912539</v>
      </c>
      <c r="N65" s="465">
        <f t="shared" si="103"/>
        <v>986.20464524554382</v>
      </c>
      <c r="O65" s="464">
        <f t="shared" si="104"/>
        <v>296.95916503445704</v>
      </c>
      <c r="P65" s="465">
        <f t="shared" si="105"/>
        <v>3916.619774427455</v>
      </c>
      <c r="Q65" s="465">
        <f t="shared" si="106"/>
        <v>16401.915233127645</v>
      </c>
      <c r="R65" s="467">
        <f t="shared" si="107"/>
        <v>996.2159431384564</v>
      </c>
      <c r="S65" s="464">
        <f t="shared" si="108"/>
        <v>296.95916503445704</v>
      </c>
      <c r="T65" s="465">
        <f t="shared" si="109"/>
        <v>3916.619774427455</v>
      </c>
      <c r="U65" s="465">
        <f t="shared" si="110"/>
        <v>21611.710115728012</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760.34600496608152</v>
      </c>
      <c r="D66" s="3">
        <f>'4B Biological treatment '!T119</f>
        <v>0.54468490413106452</v>
      </c>
      <c r="E66" s="152">
        <f>'4B Biological treatment '!U119</f>
        <v>26.357848359271241</v>
      </c>
      <c r="F66" s="152">
        <f>'4B Biological treatment '!W119</f>
        <v>1.5814709015562745</v>
      </c>
      <c r="G66" s="688">
        <f>'4C2 Open-burning '!R92</f>
        <v>30.396018954856537</v>
      </c>
      <c r="H66" s="688">
        <f>'4C2 Open-burning '!Z92</f>
        <v>10.227329792863893</v>
      </c>
      <c r="I66" s="688">
        <f>'4C2 Open-burning '!AH92</f>
        <v>0.14238169252964775</v>
      </c>
      <c r="J66" s="93">
        <f>'4D Wastewater treatment and dis'!AV129</f>
        <v>145.59752270040624</v>
      </c>
      <c r="K66" s="3">
        <f>'4D Wastewater treatment and dis'!AW129</f>
        <v>3.0248585614028385</v>
      </c>
      <c r="L66" s="465">
        <f t="shared" si="101"/>
        <v>15967.266104287712</v>
      </c>
      <c r="M66" s="688">
        <f t="shared" si="102"/>
        <v>11.438382986752355</v>
      </c>
      <c r="N66" s="465">
        <f t="shared" si="103"/>
        <v>1043.770795027141</v>
      </c>
      <c r="O66" s="464">
        <f t="shared" si="104"/>
        <v>289.30826928918913</v>
      </c>
      <c r="P66" s="465">
        <f t="shared" si="105"/>
        <v>3995.2541307434112</v>
      </c>
      <c r="Q66" s="465">
        <f t="shared" si="106"/>
        <v>15967.266104287712</v>
      </c>
      <c r="R66" s="467">
        <f t="shared" si="107"/>
        <v>1055.2091780138935</v>
      </c>
      <c r="S66" s="464">
        <f t="shared" si="108"/>
        <v>289.30826928918913</v>
      </c>
      <c r="T66" s="465">
        <f t="shared" si="109"/>
        <v>3995.2541307434112</v>
      </c>
      <c r="U66" s="465">
        <f t="shared" si="110"/>
        <v>21307.037682334205</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739.19280116991513</v>
      </c>
      <c r="D67" s="3">
        <f>'4B Biological treatment '!T120</f>
        <v>0.61575410522651619</v>
      </c>
      <c r="E67" s="152">
        <f>'4B Biological treatment '!U120</f>
        <v>27.708934735193225</v>
      </c>
      <c r="F67" s="152">
        <f>'4B Biological treatment '!W120</f>
        <v>1.6625360841115935</v>
      </c>
      <c r="G67" s="688">
        <f>'4C2 Open-burning '!R93</f>
        <v>29.615979043837584</v>
      </c>
      <c r="H67" s="688">
        <f>'4C2 Open-burning '!Z93</f>
        <v>9.9648702440185204</v>
      </c>
      <c r="I67" s="688">
        <f>'4C2 Open-burning '!AH93</f>
        <v>0.13872781262726636</v>
      </c>
      <c r="J67" s="93">
        <f>'4D Wastewater treatment and dis'!AV130</f>
        <v>148.88938056271107</v>
      </c>
      <c r="K67" s="3">
        <f>'4D Wastewater treatment and dis'!AW130</f>
        <v>3.0596873027184164</v>
      </c>
      <c r="L67" s="465">
        <f t="shared" si="101"/>
        <v>15523.048824568217</v>
      </c>
      <c r="M67" s="688">
        <f t="shared" si="102"/>
        <v>12.930836209756841</v>
      </c>
      <c r="N67" s="465">
        <f t="shared" si="103"/>
        <v>1097.2738155136517</v>
      </c>
      <c r="O67" s="464">
        <f t="shared" si="104"/>
        <v>281.88387608267908</v>
      </c>
      <c r="P67" s="465">
        <f t="shared" si="105"/>
        <v>4075.1800556596418</v>
      </c>
      <c r="Q67" s="465">
        <f t="shared" si="106"/>
        <v>15523.048824568217</v>
      </c>
      <c r="R67" s="467">
        <f t="shared" si="107"/>
        <v>1110.2046517234085</v>
      </c>
      <c r="S67" s="464">
        <f t="shared" si="108"/>
        <v>281.88387608267908</v>
      </c>
      <c r="T67" s="465">
        <f t="shared" si="109"/>
        <v>4075.1800556596418</v>
      </c>
      <c r="U67" s="465">
        <f t="shared" si="110"/>
        <v>20990.317408033949</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717.67408265496499</v>
      </c>
      <c r="D68" s="3">
        <f>'4B Biological treatment '!T121</f>
        <v>0.64943665216178759</v>
      </c>
      <c r="E68" s="152">
        <f>'4B Biological treatment '!U121</f>
        <v>29.224649347280433</v>
      </c>
      <c r="F68" s="152">
        <f>'4B Biological treatment '!W121</f>
        <v>1.753478960836826</v>
      </c>
      <c r="G68" s="688">
        <f>'4C2 Open-burning '!R94</f>
        <v>28.858943665621116</v>
      </c>
      <c r="H68" s="688">
        <f>'4C2 Open-burning '!Z94</f>
        <v>9.710151016168842</v>
      </c>
      <c r="I68" s="688">
        <f>'4C2 Open-burning '!AH94</f>
        <v>0.13518169105735395</v>
      </c>
      <c r="J68" s="93">
        <f>'4D Wastewater treatment and dis'!AV131</f>
        <v>152.23774169979643</v>
      </c>
      <c r="K68" s="3">
        <f>'4D Wastewater treatment and dis'!AW131</f>
        <v>3.0949170681470224</v>
      </c>
      <c r="L68" s="465">
        <f t="shared" si="101"/>
        <v>15071.155735754264</v>
      </c>
      <c r="M68" s="688">
        <f t="shared" si="102"/>
        <v>13.63816969539754</v>
      </c>
      <c r="N68" s="465">
        <f t="shared" si="103"/>
        <v>1157.2961141523051</v>
      </c>
      <c r="O68" s="464">
        <f t="shared" si="104"/>
        <v>274.67843923294652</v>
      </c>
      <c r="P68" s="465">
        <f t="shared" si="105"/>
        <v>4156.4168668213024</v>
      </c>
      <c r="Q68" s="465">
        <f t="shared" si="106"/>
        <v>15071.155735754264</v>
      </c>
      <c r="R68" s="467">
        <f t="shared" si="107"/>
        <v>1170.9342838477025</v>
      </c>
      <c r="S68" s="464">
        <f t="shared" si="108"/>
        <v>274.67843923294652</v>
      </c>
      <c r="T68" s="465">
        <f t="shared" si="109"/>
        <v>4156.4168668213024</v>
      </c>
      <c r="U68" s="465">
        <f t="shared" si="110"/>
        <v>20673.185325656217</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696.28185845030134</v>
      </c>
      <c r="D69" s="3">
        <f>'4B Biological treatment '!T122</f>
        <v>0.68351050389547985</v>
      </c>
      <c r="E69" s="152">
        <f>'4B Biological treatment '!U122</f>
        <v>30.757972675296585</v>
      </c>
      <c r="F69" s="152">
        <f>'4B Biological treatment '!W122</f>
        <v>1.8454783605177951</v>
      </c>
      <c r="G69" s="688">
        <f>'4C2 Open-burning '!R95</f>
        <v>28.124145318244857</v>
      </c>
      <c r="H69" s="688">
        <f>'4C2 Open-burning '!Z95</f>
        <v>9.462913868401909</v>
      </c>
      <c r="I69" s="688">
        <f>'4C2 Open-burning '!AH95</f>
        <v>0.13173973267054012</v>
      </c>
      <c r="J69" s="93">
        <f>'4D Wastewater treatment and dis'!AV132</f>
        <v>155.64347086664165</v>
      </c>
      <c r="K69" s="3">
        <f>'4D Wastewater treatment and dis'!AW132</f>
        <v>3.1305524751492158</v>
      </c>
      <c r="L69" s="465">
        <f t="shared" si="101"/>
        <v>14621.919027456328</v>
      </c>
      <c r="M69" s="688">
        <f t="shared" si="102"/>
        <v>14.353720581805076</v>
      </c>
      <c r="N69" s="465">
        <f t="shared" si="103"/>
        <v>1218.0157179417447</v>
      </c>
      <c r="O69" s="464">
        <f t="shared" si="104"/>
        <v>267.68465368255238</v>
      </c>
      <c r="P69" s="465">
        <f t="shared" si="105"/>
        <v>4238.9841554957311</v>
      </c>
      <c r="Q69" s="465">
        <f t="shared" si="106"/>
        <v>14621.919027456328</v>
      </c>
      <c r="R69" s="467">
        <f t="shared" si="107"/>
        <v>1232.3694385235497</v>
      </c>
      <c r="S69" s="464">
        <f t="shared" si="108"/>
        <v>267.68465368255238</v>
      </c>
      <c r="T69" s="465">
        <f t="shared" si="109"/>
        <v>4238.9841554957311</v>
      </c>
      <c r="U69" s="465">
        <f t="shared" si="110"/>
        <v>20360.957275158162</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674.65080825726614</v>
      </c>
      <c r="D70" s="3">
        <f>'4B Biological treatment '!T123</f>
        <v>0.7180926607506255</v>
      </c>
      <c r="E70" s="152">
        <f>'4B Biological treatment '!U123</f>
        <v>32.314169733778144</v>
      </c>
      <c r="F70" s="152">
        <f>'4B Biological treatment '!W123</f>
        <v>1.9388501840266885</v>
      </c>
      <c r="G70" s="688">
        <f>'4C2 Open-burning '!R96</f>
        <v>27.410840899092218</v>
      </c>
      <c r="H70" s="688">
        <f>'4C2 Open-burning '!Z96</f>
        <v>9.222908769437602</v>
      </c>
      <c r="I70" s="688">
        <f>'4C2 Open-burning '!AH96</f>
        <v>0.1283984566093998</v>
      </c>
      <c r="J70" s="93">
        <f>'4D Wastewater treatment and dis'!AV133</f>
        <v>159.10744524111379</v>
      </c>
      <c r="K70" s="3">
        <f>'4D Wastewater treatment and dis'!AW133</f>
        <v>3.166598194351784</v>
      </c>
      <c r="L70" s="465">
        <f t="shared" si="101"/>
        <v>14167.666973402589</v>
      </c>
      <c r="M70" s="688">
        <f t="shared" si="102"/>
        <v>15.079945875763135</v>
      </c>
      <c r="N70" s="465">
        <f t="shared" si="103"/>
        <v>1279.6411214576144</v>
      </c>
      <c r="O70" s="464">
        <f t="shared" si="104"/>
        <v>260.89544660619578</v>
      </c>
      <c r="P70" s="465">
        <f t="shared" si="105"/>
        <v>4322.9017903124422</v>
      </c>
      <c r="Q70" s="465">
        <f t="shared" si="106"/>
        <v>14167.666973402589</v>
      </c>
      <c r="R70" s="467">
        <f t="shared" si="107"/>
        <v>1294.7210673333775</v>
      </c>
      <c r="S70" s="464">
        <f t="shared" si="108"/>
        <v>260.89544660619578</v>
      </c>
      <c r="T70" s="465">
        <f t="shared" si="109"/>
        <v>4322.9017903124422</v>
      </c>
      <c r="U70" s="465">
        <f t="shared" si="110"/>
        <v>20046.185277654604</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653.05627213158527</v>
      </c>
      <c r="D71" s="3">
        <f>'4B Biological treatment '!T124</f>
        <v>0.75290276866183881</v>
      </c>
      <c r="E71" s="152">
        <f>'4B Biological treatment '!U124</f>
        <v>33.880624589782741</v>
      </c>
      <c r="F71" s="152">
        <f>'4B Biological treatment '!W124</f>
        <v>2.0328374753869642</v>
      </c>
      <c r="G71" s="688">
        <f>'4C2 Open-burning '!R97</f>
        <v>26.730615383560647</v>
      </c>
      <c r="H71" s="688">
        <f>'4C2 Open-burning '!Z97</f>
        <v>8.9940337088188294</v>
      </c>
      <c r="I71" s="688">
        <f>'4C2 Open-burning '!AH97</f>
        <v>0.12521212946744487</v>
      </c>
      <c r="J71" s="93">
        <f>'4D Wastewater treatment and dis'!AV134</f>
        <v>162.36241909655723</v>
      </c>
      <c r="K71" s="3">
        <f>'4D Wastewater treatment and dis'!AW134</f>
        <v>3.1977779387807019</v>
      </c>
      <c r="L71" s="465">
        <f t="shared" si="101"/>
        <v>13714.18171476329</v>
      </c>
      <c r="M71" s="688">
        <f t="shared" si="102"/>
        <v>15.810958141898615</v>
      </c>
      <c r="N71" s="465">
        <f t="shared" si="103"/>
        <v>1341.6727337553966</v>
      </c>
      <c r="O71" s="464">
        <f t="shared" si="104"/>
        <v>254.421083403664</v>
      </c>
      <c r="P71" s="465">
        <f t="shared" si="105"/>
        <v>4400.9219620497197</v>
      </c>
      <c r="Q71" s="465">
        <f t="shared" si="106"/>
        <v>13714.18171476329</v>
      </c>
      <c r="R71" s="467">
        <f t="shared" si="107"/>
        <v>1357.4836918972953</v>
      </c>
      <c r="S71" s="464">
        <f t="shared" si="108"/>
        <v>254.421083403664</v>
      </c>
      <c r="T71" s="465">
        <f t="shared" si="109"/>
        <v>4400.9219620497197</v>
      </c>
      <c r="U71" s="465">
        <f t="shared" si="110"/>
        <v>19727.008452113969</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631.73644185634282</v>
      </c>
      <c r="D72" s="3">
        <f>'4B Biological treatment '!T125</f>
        <v>0.78809036041822733</v>
      </c>
      <c r="E72" s="152">
        <f>'4B Biological treatment '!U125</f>
        <v>35.464066218820221</v>
      </c>
      <c r="F72" s="152">
        <f>'4B Biological treatment '!W125</f>
        <v>2.1278439731292136</v>
      </c>
      <c r="G72" s="688">
        <f>'4C2 Open-burning '!R98</f>
        <v>26.072991717486669</v>
      </c>
      <c r="H72" s="688">
        <f>'4C2 Open-burning '!Z98</f>
        <v>8.7727634785784918</v>
      </c>
      <c r="I72" s="688">
        <f>'4C2 Open-burning '!AH98</f>
        <v>0.12213167439988395</v>
      </c>
      <c r="J72" s="93">
        <f>'4D Wastewater treatment and dis'!AV135</f>
        <v>165.66606694292278</v>
      </c>
      <c r="K72" s="3">
        <f>'4D Wastewater treatment and dis'!AW135</f>
        <v>3.2292646929415123</v>
      </c>
      <c r="L72" s="465">
        <f t="shared" si="101"/>
        <v>13266.4652789832</v>
      </c>
      <c r="M72" s="688">
        <f t="shared" si="102"/>
        <v>16.549897568782775</v>
      </c>
      <c r="N72" s="465">
        <f t="shared" si="103"/>
        <v>1404.3770222652809</v>
      </c>
      <c r="O72" s="464">
        <f t="shared" si="104"/>
        <v>248.16184383159901</v>
      </c>
      <c r="P72" s="465">
        <f t="shared" si="105"/>
        <v>4480.0594606132472</v>
      </c>
      <c r="Q72" s="465">
        <f t="shared" si="106"/>
        <v>13266.4652789832</v>
      </c>
      <c r="R72" s="467">
        <f t="shared" si="107"/>
        <v>1420.9269198340637</v>
      </c>
      <c r="S72" s="464">
        <f t="shared" si="108"/>
        <v>248.16184383159901</v>
      </c>
      <c r="T72" s="465">
        <f t="shared" si="109"/>
        <v>4480.0594606132472</v>
      </c>
      <c r="U72" s="465">
        <f t="shared" si="110"/>
        <v>19415.61350326211</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610.5226017801939</v>
      </c>
      <c r="D73" s="3">
        <f>'4B Biological treatment '!T126</f>
        <v>0.79295280419613556</v>
      </c>
      <c r="E73" s="152">
        <f>'4B Biological treatment '!U126</f>
        <v>35.6828761888261</v>
      </c>
      <c r="F73" s="152">
        <f>'4B Biological treatment '!W126</f>
        <v>2.1409725713295655</v>
      </c>
      <c r="G73" s="688">
        <f>'4C2 Open-burning '!R99</f>
        <v>24.643242655537975</v>
      </c>
      <c r="H73" s="688">
        <f>'4C2 Open-burning '!Z99</f>
        <v>8.2916966915329837</v>
      </c>
      <c r="I73" s="688">
        <f>'4C2 Open-burning '!AH99</f>
        <v>0.115434412773772</v>
      </c>
      <c r="J73" s="93">
        <f>'4D Wastewater treatment and dis'!AV136</f>
        <v>169.01903173407416</v>
      </c>
      <c r="K73" s="3">
        <f>'4D Wastewater treatment and dis'!AW136</f>
        <v>3.2610614797895683</v>
      </c>
      <c r="L73" s="465">
        <f t="shared" si="101"/>
        <v>12820.974637384072</v>
      </c>
      <c r="M73" s="688">
        <f t="shared" si="102"/>
        <v>16.652008888118846</v>
      </c>
      <c r="N73" s="465">
        <f t="shared" si="103"/>
        <v>1413.0418970775133</v>
      </c>
      <c r="O73" s="464">
        <f t="shared" si="104"/>
        <v>234.55354113759998</v>
      </c>
      <c r="P73" s="465">
        <f t="shared" si="105"/>
        <v>4560.3287251503234</v>
      </c>
      <c r="Q73" s="465">
        <f t="shared" si="106"/>
        <v>12820.974637384072</v>
      </c>
      <c r="R73" s="467">
        <f t="shared" si="107"/>
        <v>1429.6939059656322</v>
      </c>
      <c r="S73" s="464">
        <f t="shared" si="108"/>
        <v>234.55354113759998</v>
      </c>
      <c r="T73" s="465">
        <f t="shared" si="109"/>
        <v>4560.3287251503234</v>
      </c>
      <c r="U73" s="465">
        <f t="shared" si="110"/>
        <v>19045.550809637629</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590.00806684099916</v>
      </c>
      <c r="D74" s="3">
        <f>'4B Biological treatment '!T127</f>
        <v>0.79817953328759317</v>
      </c>
      <c r="E74" s="152">
        <f>'4B Biological treatment '!U127</f>
        <v>35.918078997941691</v>
      </c>
      <c r="F74" s="152">
        <f>'4B Biological treatment '!W127</f>
        <v>2.1550847398765014</v>
      </c>
      <c r="G74" s="688">
        <f>'4C2 Open-burning '!R100</f>
        <v>23.292811814782528</v>
      </c>
      <c r="H74" s="688">
        <f>'4C2 Open-burning '!Z100</f>
        <v>7.837318057562114</v>
      </c>
      <c r="I74" s="688">
        <f>'4C2 Open-burning '!AH100</f>
        <v>0.10910869528305192</v>
      </c>
      <c r="J74" s="93">
        <f>'4D Wastewater treatment and dis'!AV137</f>
        <v>172.42196436643172</v>
      </c>
      <c r="K74" s="3">
        <f>'4D Wastewater treatment and dis'!AW137</f>
        <v>3.2931713520456056</v>
      </c>
      <c r="L74" s="465">
        <f t="shared" si="101"/>
        <v>12390.169403660982</v>
      </c>
      <c r="M74" s="688">
        <f t="shared" si="102"/>
        <v>16.761770199039457</v>
      </c>
      <c r="N74" s="465">
        <f t="shared" si="103"/>
        <v>1422.3559283184909</v>
      </c>
      <c r="O74" s="464">
        <f t="shared" si="104"/>
        <v>221.70018656133303</v>
      </c>
      <c r="P74" s="465">
        <f t="shared" si="105"/>
        <v>4641.7443708292039</v>
      </c>
      <c r="Q74" s="465">
        <f t="shared" si="106"/>
        <v>12390.169403660982</v>
      </c>
      <c r="R74" s="467">
        <f t="shared" si="107"/>
        <v>1439.1176985175302</v>
      </c>
      <c r="S74" s="464">
        <f t="shared" si="108"/>
        <v>221.70018656133303</v>
      </c>
      <c r="T74" s="465">
        <f t="shared" si="109"/>
        <v>4641.7443708292039</v>
      </c>
      <c r="U74" s="465">
        <f t="shared" si="110"/>
        <v>18692.73165956905</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570.1703152615479</v>
      </c>
      <c r="D75" s="3">
        <f>'4B Biological treatment '!T128</f>
        <v>0.80340648876551801</v>
      </c>
      <c r="E75" s="152">
        <f>'4B Biological treatment '!U128</f>
        <v>36.15329199444831</v>
      </c>
      <c r="F75" s="152">
        <f>'4B Biological treatment '!W128</f>
        <v>2.1691975196668984</v>
      </c>
      <c r="G75" s="688">
        <f>'4C2 Open-burning '!R101</f>
        <v>22.017235682209698</v>
      </c>
      <c r="H75" s="688">
        <f>'4C2 Open-burning '!Z101</f>
        <v>7.4081257411899131</v>
      </c>
      <c r="I75" s="688">
        <f>'4C2 Open-burning '!AH101</f>
        <v>0.10313361384308185</v>
      </c>
      <c r="J75" s="93">
        <f>'4D Wastewater treatment and dis'!AV138</f>
        <v>175.87552377304826</v>
      </c>
      <c r="K75" s="3">
        <f>'4D Wastewater treatment and dis'!AW138</f>
        <v>3.3255973924888065</v>
      </c>
      <c r="L75" s="465">
        <f t="shared" si="101"/>
        <v>11973.576620492506</v>
      </c>
      <c r="M75" s="688">
        <f t="shared" si="102"/>
        <v>16.871536264075878</v>
      </c>
      <c r="N75" s="465">
        <f t="shared" si="103"/>
        <v>1431.6703629801532</v>
      </c>
      <c r="O75" s="464">
        <f t="shared" si="104"/>
        <v>209.55929653855324</v>
      </c>
      <c r="P75" s="465">
        <f t="shared" si="105"/>
        <v>4724.3211909055435</v>
      </c>
      <c r="Q75" s="465">
        <f t="shared" si="106"/>
        <v>11973.576620492506</v>
      </c>
      <c r="R75" s="467">
        <f t="shared" si="107"/>
        <v>1448.5418992442292</v>
      </c>
      <c r="S75" s="464">
        <f t="shared" si="108"/>
        <v>209.55929653855324</v>
      </c>
      <c r="T75" s="465">
        <f t="shared" si="109"/>
        <v>4724.3211909055435</v>
      </c>
      <c r="U75" s="465">
        <f t="shared" si="110"/>
        <v>18355.999007180832</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550.98765107446752</v>
      </c>
      <c r="D76" s="3">
        <f>'4B Biological treatment '!T129</f>
        <v>0.80952223164445369</v>
      </c>
      <c r="E76" s="152">
        <f>'4B Biological treatment '!U129</f>
        <v>36.428500424000418</v>
      </c>
      <c r="F76" s="152">
        <f>'4B Biological treatment '!W129</f>
        <v>2.185710025440025</v>
      </c>
      <c r="G76" s="688">
        <f>'4C2 Open-burning '!R102</f>
        <v>20.920945264930513</v>
      </c>
      <c r="H76" s="688">
        <f>'4C2 Open-burning '!Z102</f>
        <v>7.0392575791150502</v>
      </c>
      <c r="I76" s="688">
        <f>'4C2 Open-burning '!AH102</f>
        <v>9.7998346446780099E-2</v>
      </c>
      <c r="J76" s="93">
        <f>'4D Wastewater treatment and dis'!AV139</f>
        <v>179.14729338241924</v>
      </c>
      <c r="K76" s="3">
        <f>'4D Wastewater treatment and dis'!AW139</f>
        <v>3.3539789441183268</v>
      </c>
      <c r="L76" s="465">
        <f t="shared" si="101"/>
        <v>11570.740672563817</v>
      </c>
      <c r="M76" s="688">
        <f t="shared" si="102"/>
        <v>16.999966864533526</v>
      </c>
      <c r="N76" s="465">
        <f t="shared" si="103"/>
        <v>1442.5686167904164</v>
      </c>
      <c r="O76" s="464">
        <f t="shared" si="104"/>
        <v>199.12484182484837</v>
      </c>
      <c r="P76" s="465">
        <f t="shared" si="105"/>
        <v>4801.8266337074856</v>
      </c>
      <c r="Q76" s="465">
        <f t="shared" si="106"/>
        <v>11570.740672563817</v>
      </c>
      <c r="R76" s="467">
        <f t="shared" si="107"/>
        <v>1459.5685836549499</v>
      </c>
      <c r="S76" s="464">
        <f t="shared" si="108"/>
        <v>199.12484182484837</v>
      </c>
      <c r="T76" s="465">
        <f t="shared" si="109"/>
        <v>4801.8266337074856</v>
      </c>
      <c r="U76" s="465">
        <f t="shared" si="110"/>
        <v>18031.260731751099</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532.4412176008284</v>
      </c>
      <c r="D77" s="3">
        <f>'4B Biological treatment '!T130</f>
        <v>0.81598194397364199</v>
      </c>
      <c r="E77" s="152">
        <f>'4B Biological treatment '!U130</f>
        <v>36.719187478813879</v>
      </c>
      <c r="F77" s="152">
        <f>'4B Biological treatment '!W130</f>
        <v>2.2031512487288332</v>
      </c>
      <c r="G77" s="688">
        <f>'4C2 Open-burning '!R103</f>
        <v>19.830700584208724</v>
      </c>
      <c r="H77" s="688">
        <f>'4C2 Open-burning '!Z103</f>
        <v>6.6724236222992763</v>
      </c>
      <c r="I77" s="688">
        <f>'4C2 Open-burning '!AH103</f>
        <v>9.2891398621041524E-2</v>
      </c>
      <c r="J77" s="93">
        <f>'4D Wastewater treatment and dis'!AV140</f>
        <v>182.4620976517032</v>
      </c>
      <c r="K77" s="3">
        <f>'4D Wastewater treatment and dis'!AW140</f>
        <v>3.3826027116200144</v>
      </c>
      <c r="L77" s="465">
        <f t="shared" si="101"/>
        <v>11181.265569617397</v>
      </c>
      <c r="M77" s="688">
        <f t="shared" si="102"/>
        <v>17.13562082344648</v>
      </c>
      <c r="N77" s="465">
        <f t="shared" si="103"/>
        <v>1454.0798241610298</v>
      </c>
      <c r="O77" s="464">
        <f t="shared" si="104"/>
        <v>188.7479302250164</v>
      </c>
      <c r="P77" s="465">
        <f t="shared" si="105"/>
        <v>4880.3108912879725</v>
      </c>
      <c r="Q77" s="465">
        <f t="shared" si="106"/>
        <v>11181.265569617397</v>
      </c>
      <c r="R77" s="467">
        <f t="shared" si="107"/>
        <v>1471.2154449844763</v>
      </c>
      <c r="S77" s="464">
        <f t="shared" si="108"/>
        <v>188.7479302250164</v>
      </c>
      <c r="T77" s="465">
        <f t="shared" si="109"/>
        <v>4880.3108912879725</v>
      </c>
      <c r="U77" s="465">
        <f t="shared" si="110"/>
        <v>17721.539836114862</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514.49273830216964</v>
      </c>
      <c r="D78" s="3">
        <f>'4B Biological treatment '!T131</f>
        <v>0.82276025267448416</v>
      </c>
      <c r="E78" s="152">
        <f>'4B Biological treatment '!U131</f>
        <v>37.024211370351786</v>
      </c>
      <c r="F78" s="152">
        <f>'4B Biological treatment '!W131</f>
        <v>2.2214526822211074</v>
      </c>
      <c r="G78" s="688">
        <f>'4C2 Open-burning '!R104</f>
        <v>18.746381549056849</v>
      </c>
      <c r="H78" s="688">
        <f>'4C2 Open-burning '!Z104</f>
        <v>6.3075834638019295</v>
      </c>
      <c r="I78" s="688">
        <f>'4C2 Open-burning '!AH104</f>
        <v>8.7812207833052797E-2</v>
      </c>
      <c r="J78" s="93">
        <f>'4D Wastewater treatment and dis'!AV141</f>
        <v>185.8204328244677</v>
      </c>
      <c r="K78" s="3">
        <f>'4D Wastewater treatment and dis'!AW141</f>
        <v>3.4114707621299263</v>
      </c>
      <c r="L78" s="465">
        <f t="shared" si="101"/>
        <v>10804.347504345562</v>
      </c>
      <c r="M78" s="688">
        <f t="shared" si="102"/>
        <v>17.277965306164166</v>
      </c>
      <c r="N78" s="465">
        <f t="shared" si="103"/>
        <v>1466.1587702659308</v>
      </c>
      <c r="O78" s="464">
        <f t="shared" si="104"/>
        <v>178.42741871714372</v>
      </c>
      <c r="P78" s="465">
        <f t="shared" si="105"/>
        <v>4959.7850255740987</v>
      </c>
      <c r="Q78" s="465">
        <f t="shared" si="106"/>
        <v>10804.347504345562</v>
      </c>
      <c r="R78" s="467">
        <f t="shared" si="107"/>
        <v>1483.4367355720949</v>
      </c>
      <c r="S78" s="464">
        <f t="shared" si="108"/>
        <v>178.42741871714372</v>
      </c>
      <c r="T78" s="465">
        <f t="shared" si="109"/>
        <v>4959.7850255740987</v>
      </c>
      <c r="U78" s="465">
        <f t="shared" si="110"/>
        <v>17425.996684208898</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497.10579838440316</v>
      </c>
      <c r="D79" s="3">
        <f>'4B Biological treatment '!T132</f>
        <v>0.83042267495611144</v>
      </c>
      <c r="E79" s="152">
        <f>'4B Biological treatment '!U132</f>
        <v>37.369020373025009</v>
      </c>
      <c r="F79" s="152">
        <f>'4B Biological treatment '!W132</f>
        <v>2.2421412223815005</v>
      </c>
      <c r="G79" s="688">
        <f>'4C2 Open-burning '!R105</f>
        <v>17.667870858558523</v>
      </c>
      <c r="H79" s="688">
        <f>'4C2 Open-burning '!Z105</f>
        <v>5.9446976354558663</v>
      </c>
      <c r="I79" s="688">
        <f>'4C2 Open-burning '!AH105</f>
        <v>8.2760224619312345E-2</v>
      </c>
      <c r="J79" s="93">
        <f>'4D Wastewater treatment and dis'!AV142</f>
        <v>189.22280048005791</v>
      </c>
      <c r="K79" s="3">
        <f>'4D Wastewater treatment and dis'!AW142</f>
        <v>3.4405851804256198</v>
      </c>
      <c r="L79" s="465">
        <f t="shared" si="101"/>
        <v>10439.221766072465</v>
      </c>
      <c r="M79" s="688">
        <f t="shared" si="102"/>
        <v>17.438876174078342</v>
      </c>
      <c r="N79" s="465">
        <f t="shared" si="103"/>
        <v>1479.8132067717902</v>
      </c>
      <c r="O79" s="464">
        <f t="shared" si="104"/>
        <v>168.16219083511854</v>
      </c>
      <c r="P79" s="465">
        <f t="shared" si="105"/>
        <v>5040.2602160131582</v>
      </c>
      <c r="Q79" s="465">
        <f t="shared" si="106"/>
        <v>10439.221766072465</v>
      </c>
      <c r="R79" s="467">
        <f t="shared" si="107"/>
        <v>1497.2520829458686</v>
      </c>
      <c r="S79" s="464">
        <f t="shared" si="108"/>
        <v>168.16219083511854</v>
      </c>
      <c r="T79" s="465">
        <f t="shared" si="109"/>
        <v>5040.2602160131582</v>
      </c>
      <c r="U79" s="465">
        <f t="shared" si="110"/>
        <v>17144.89625586661</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480.24575431853833</v>
      </c>
      <c r="D80" s="3">
        <f>'4B Biological treatment '!T133</f>
        <v>0.83772940674909857</v>
      </c>
      <c r="E80" s="152">
        <f>'4B Biological treatment '!U133</f>
        <v>37.697823303709427</v>
      </c>
      <c r="F80" s="152">
        <f>'4B Biological treatment '!W133</f>
        <v>2.2618693982225659</v>
      </c>
      <c r="G80" s="688">
        <f>'4C2 Open-burning '!R106</f>
        <v>16.595053922921537</v>
      </c>
      <c r="H80" s="688">
        <f>'4C2 Open-burning '!Z106</f>
        <v>5.5837275813042186</v>
      </c>
      <c r="I80" s="688">
        <f>'4C2 Open-burning '!AH106</f>
        <v>7.773491221582543E-2</v>
      </c>
      <c r="J80" s="93">
        <f>'4D Wastewater treatment and dis'!AV143</f>
        <v>192.66970758852685</v>
      </c>
      <c r="K80" s="3">
        <f>'4D Wastewater treatment and dis'!AW143</f>
        <v>3.4699480690767106</v>
      </c>
      <c r="L80" s="465">
        <f t="shared" si="101"/>
        <v>10085.160840689305</v>
      </c>
      <c r="M80" s="688">
        <f t="shared" si="102"/>
        <v>17.59231754173107</v>
      </c>
      <c r="N80" s="465">
        <f t="shared" si="103"/>
        <v>1492.8338028268934</v>
      </c>
      <c r="O80" s="464">
        <f t="shared" si="104"/>
        <v>157.95115591721603</v>
      </c>
      <c r="P80" s="465">
        <f t="shared" si="105"/>
        <v>5121.7477607728442</v>
      </c>
      <c r="Q80" s="465">
        <f t="shared" si="106"/>
        <v>10085.160840689305</v>
      </c>
      <c r="R80" s="467">
        <f t="shared" si="107"/>
        <v>1510.4261203686244</v>
      </c>
      <c r="S80" s="464">
        <f t="shared" si="108"/>
        <v>157.95115591721603</v>
      </c>
      <c r="T80" s="465">
        <f t="shared" si="109"/>
        <v>5121.7477607728442</v>
      </c>
      <c r="U80" s="465">
        <f t="shared" si="110"/>
        <v>16875.285877747989</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463.87964776280631</v>
      </c>
      <c r="D81" s="3">
        <f>'4B Biological treatment '!T134</f>
        <v>0.84552137689507667</v>
      </c>
      <c r="E81" s="152">
        <f>'4B Biological treatment '!U134</f>
        <v>38.048461960278445</v>
      </c>
      <c r="F81" s="152">
        <f>'4B Biological treatment '!W134</f>
        <v>2.2829077176167067</v>
      </c>
      <c r="G81" s="688">
        <f>'4C2 Open-burning '!R107</f>
        <v>15.533146621710603</v>
      </c>
      <c r="H81" s="688">
        <f>'4C2 Open-burning '!Z107</f>
        <v>5.2264282851344142</v>
      </c>
      <c r="I81" s="688">
        <f>'4C2 Open-burning '!AH107</f>
        <v>7.2760702958996254E-2</v>
      </c>
      <c r="J81" s="93">
        <f>'4D Wastewater treatment and dis'!AV144</f>
        <v>195.92571354716031</v>
      </c>
      <c r="K81" s="3">
        <f>'4D Wastewater treatment and dis'!AW144</f>
        <v>3.4953521017314642</v>
      </c>
      <c r="L81" s="465">
        <f t="shared" si="101"/>
        <v>9741.4726030189322</v>
      </c>
      <c r="M81" s="688">
        <f t="shared" si="102"/>
        <v>17.755948914796612</v>
      </c>
      <c r="N81" s="465">
        <f t="shared" si="103"/>
        <v>1506.7190936270265</v>
      </c>
      <c r="O81" s="464">
        <f t="shared" si="104"/>
        <v>147.84395852682215</v>
      </c>
      <c r="P81" s="465">
        <f t="shared" si="105"/>
        <v>5197.9991360271206</v>
      </c>
      <c r="Q81" s="465">
        <f t="shared" si="106"/>
        <v>9741.4726030189322</v>
      </c>
      <c r="R81" s="467">
        <f t="shared" si="107"/>
        <v>1524.4750425418231</v>
      </c>
      <c r="S81" s="464">
        <f t="shared" si="108"/>
        <v>147.84395852682215</v>
      </c>
      <c r="T81" s="465">
        <f t="shared" si="109"/>
        <v>5197.9991360271206</v>
      </c>
      <c r="U81" s="465">
        <f t="shared" si="110"/>
        <v>16611.790740114699</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447.97380668800434</v>
      </c>
      <c r="D82" s="3">
        <f>'4B Biological treatment '!T135</f>
        <v>0.85413260579770744</v>
      </c>
      <c r="E82" s="152">
        <f>'4B Biological treatment '!U135</f>
        <v>38.435967260896831</v>
      </c>
      <c r="F82" s="152">
        <f>'4B Biological treatment '!W135</f>
        <v>2.3061580356538096</v>
      </c>
      <c r="G82" s="688">
        <f>'4C2 Open-burning '!R108</f>
        <v>15.156233291943034</v>
      </c>
      <c r="H82" s="688">
        <f>'4C2 Open-burning '!Z108</f>
        <v>5.0996084890096478</v>
      </c>
      <c r="I82" s="688">
        <f>'4C2 Open-burning '!AH108</f>
        <v>7.0995157348928195E-2</v>
      </c>
      <c r="J82" s="93">
        <f>'4D Wastewater treatment and dis'!AV145</f>
        <v>199.21906799623179</v>
      </c>
      <c r="K82" s="3">
        <f>'4D Wastewater treatment and dis'!AW145</f>
        <v>3.5209421212835057</v>
      </c>
      <c r="L82" s="465">
        <f t="shared" si="101"/>
        <v>9407.4499404480921</v>
      </c>
      <c r="M82" s="688">
        <f t="shared" si="102"/>
        <v>17.936784721751856</v>
      </c>
      <c r="N82" s="465">
        <f t="shared" si="103"/>
        <v>1522.0643035315145</v>
      </c>
      <c r="O82" s="464">
        <f t="shared" si="104"/>
        <v>144.25651033931339</v>
      </c>
      <c r="P82" s="465">
        <f t="shared" si="105"/>
        <v>5275.0924855187541</v>
      </c>
      <c r="Q82" s="465">
        <f t="shared" si="106"/>
        <v>9407.4499404480921</v>
      </c>
      <c r="R82" s="467">
        <f t="shared" si="107"/>
        <v>1540.0010882532663</v>
      </c>
      <c r="S82" s="464">
        <f t="shared" si="108"/>
        <v>144.25651033931339</v>
      </c>
      <c r="T82" s="465">
        <f t="shared" si="109"/>
        <v>5275.0924855187541</v>
      </c>
      <c r="U82" s="465">
        <f t="shared" si="110"/>
        <v>16366.800024559427</v>
      </c>
    </row>
    <row r="83" spans="1:42">
      <c r="A83">
        <f>'Input data'!A138</f>
        <v>2038</v>
      </c>
      <c r="C83" s="116">
        <f>'4A SWD Case 1'!BN108</f>
        <v>432.76937349289119</v>
      </c>
      <c r="D83" s="3">
        <f>'4B Biological treatment '!T136</f>
        <v>0.862306670355248</v>
      </c>
      <c r="E83" s="152">
        <f>'4B Biological treatment '!U136</f>
        <v>38.803800165986161</v>
      </c>
      <c r="F83" s="152">
        <f>'4B Biological treatment '!W136</f>
        <v>2.3282280099591697</v>
      </c>
      <c r="G83" s="688">
        <f>'4C2 Open-burning '!R109</f>
        <v>14.476946652655759</v>
      </c>
      <c r="H83" s="688">
        <f>'4C2 Open-burning '!Z109</f>
        <v>4.8710493315030332</v>
      </c>
      <c r="I83" s="688">
        <f>'4C2 Open-burning '!AH109</f>
        <v>6.7813228111479648E-2</v>
      </c>
      <c r="J83" s="93">
        <f>'4D Wastewater treatment and dis'!AV146</f>
        <v>202.55014328428078</v>
      </c>
      <c r="K83" s="3">
        <f>'4D Wastewater treatment and dis'!AW146</f>
        <v>3.5467194893720086</v>
      </c>
      <c r="L83" s="465">
        <f t="shared" si="101"/>
        <v>9088.1568433507146</v>
      </c>
      <c r="M83" s="688">
        <f t="shared" si="102"/>
        <v>18.108440077460209</v>
      </c>
      <c r="N83" s="465">
        <f t="shared" si="103"/>
        <v>1536.6304865730519</v>
      </c>
      <c r="O83" s="464">
        <f t="shared" si="104"/>
        <v>137.79108332877814</v>
      </c>
      <c r="P83" s="465">
        <f t="shared" si="105"/>
        <v>5353.0360506752186</v>
      </c>
      <c r="Q83" s="465">
        <f t="shared" si="106"/>
        <v>9088.1568433507146</v>
      </c>
      <c r="R83" s="467">
        <f t="shared" si="107"/>
        <v>1554.7389266505122</v>
      </c>
      <c r="S83" s="464">
        <f t="shared" si="108"/>
        <v>137.79108332877814</v>
      </c>
      <c r="T83" s="465">
        <f t="shared" si="109"/>
        <v>5353.0360506752186</v>
      </c>
      <c r="U83" s="465">
        <f t="shared" si="110"/>
        <v>16133.722904005224</v>
      </c>
    </row>
    <row r="84" spans="1:42">
      <c r="A84">
        <f>'Input data'!A139</f>
        <v>2039</v>
      </c>
      <c r="C84" s="116">
        <f>'4A SWD Case 1'!BN109</f>
        <v>418.10752863186161</v>
      </c>
      <c r="D84" s="3">
        <f>'4B Biological treatment '!T137</f>
        <v>0.87053532313980053</v>
      </c>
      <c r="E84" s="152">
        <f>'4B Biological treatment '!U137</f>
        <v>39.174089541291025</v>
      </c>
      <c r="F84" s="152">
        <f>'4B Biological treatment '!W137</f>
        <v>2.3504453724774614</v>
      </c>
      <c r="G84" s="688">
        <f>'4C2 Open-burning '!R110</f>
        <v>13.800644098157552</v>
      </c>
      <c r="H84" s="688">
        <f>'4C2 Open-burning '!Z110</f>
        <v>4.6434942271690707</v>
      </c>
      <c r="I84" s="688">
        <f>'4C2 Open-burning '!AH110</f>
        <v>6.46452769888477E-2</v>
      </c>
      <c r="J84" s="93">
        <f>'4D Wastewater treatment and dis'!AV147</f>
        <v>205.91931521003639</v>
      </c>
      <c r="K84" s="3">
        <f>'4D Wastewater treatment and dis'!AW147</f>
        <v>3.5726855776049167</v>
      </c>
      <c r="L84" s="465">
        <f t="shared" si="101"/>
        <v>8780.2581012690935</v>
      </c>
      <c r="M84" s="688">
        <f t="shared" si="102"/>
        <v>18.281241785935812</v>
      </c>
      <c r="N84" s="465">
        <f t="shared" si="103"/>
        <v>1551.2939458351245</v>
      </c>
      <c r="O84" s="464">
        <f t="shared" si="104"/>
        <v>131.35405873525082</v>
      </c>
      <c r="P84" s="465">
        <f t="shared" si="105"/>
        <v>5431.8381484682886</v>
      </c>
      <c r="Q84" s="465">
        <f t="shared" si="106"/>
        <v>8780.2581012690935</v>
      </c>
      <c r="R84" s="467">
        <f t="shared" si="107"/>
        <v>1569.5751876210604</v>
      </c>
      <c r="S84" s="464">
        <f t="shared" si="108"/>
        <v>131.35405873525082</v>
      </c>
      <c r="T84" s="465">
        <f t="shared" si="109"/>
        <v>5431.8381484682886</v>
      </c>
      <c r="U84" s="465">
        <f t="shared" si="110"/>
        <v>15913.025496093693</v>
      </c>
    </row>
    <row r="85" spans="1:42">
      <c r="A85">
        <f>'Input data'!A140</f>
        <v>2040</v>
      </c>
      <c r="C85" s="116">
        <f>'4A SWD Case 1'!BN110</f>
        <v>403.95737015704145</v>
      </c>
      <c r="D85" s="3">
        <f>'4B Biological treatment '!T138</f>
        <v>0.87895224551568041</v>
      </c>
      <c r="E85" s="152">
        <f>'4B Biological treatment '!U138</f>
        <v>39.552851048205611</v>
      </c>
      <c r="F85" s="152">
        <f>'4B Biological treatment '!W138</f>
        <v>2.3731710628923368</v>
      </c>
      <c r="G85" s="688">
        <f>'4C2 Open-burning '!R111</f>
        <v>13.127275968495754</v>
      </c>
      <c r="H85" s="688">
        <f>'4C2 Open-burning '!Z111</f>
        <v>4.4169264669540507</v>
      </c>
      <c r="I85" s="688">
        <f>'4C2 Open-burning '!AH111</f>
        <v>6.1491071362803011E-2</v>
      </c>
      <c r="J85" s="93">
        <f>'4D Wastewater treatment and dis'!AV148</f>
        <v>209.32696305297864</v>
      </c>
      <c r="K85" s="3">
        <f>'4D Wastewater treatment and dis'!AW148</f>
        <v>3.5988417676319293</v>
      </c>
      <c r="L85" s="465">
        <f t="shared" si="101"/>
        <v>8483.1047732978714</v>
      </c>
      <c r="M85" s="688">
        <f t="shared" si="102"/>
        <v>18.45799715582929</v>
      </c>
      <c r="N85" s="465">
        <f t="shared" si="103"/>
        <v>1566.2929015089421</v>
      </c>
      <c r="O85" s="464">
        <f t="shared" si="104"/>
        <v>124.94496389699975</v>
      </c>
      <c r="P85" s="465">
        <f t="shared" si="105"/>
        <v>5511.507172078449</v>
      </c>
      <c r="Q85" s="465">
        <f t="shared" si="106"/>
        <v>8483.1047732978714</v>
      </c>
      <c r="R85" s="467">
        <f t="shared" si="107"/>
        <v>1584.7508986647715</v>
      </c>
      <c r="S85" s="464">
        <f t="shared" si="108"/>
        <v>124.94496389699975</v>
      </c>
      <c r="T85" s="465">
        <f t="shared" si="109"/>
        <v>5511.507172078449</v>
      </c>
      <c r="U85" s="465">
        <f t="shared" si="110"/>
        <v>15704.307807938092</v>
      </c>
    </row>
    <row r="86" spans="1:42">
      <c r="A86">
        <f>'Input data'!A141</f>
        <v>2041</v>
      </c>
      <c r="C86" s="116">
        <f>'4A SWD Case 1'!BN111</f>
        <v>390.2894987077164</v>
      </c>
      <c r="D86" s="3">
        <f>'4B Biological treatment '!T139</f>
        <v>0.88768899937790691</v>
      </c>
      <c r="E86" s="152">
        <f>'4B Biological treatment '!U139</f>
        <v>39.946004972005802</v>
      </c>
      <c r="F86" s="152">
        <f>'4B Biological treatment '!W139</f>
        <v>2.3967602983203484</v>
      </c>
      <c r="G86" s="688">
        <f>'4C2 Open-burning '!R112</f>
        <v>12.46053668657942</v>
      </c>
      <c r="H86" s="688">
        <f>'4C2 Open-burning '!Z112</f>
        <v>4.1925891110607356</v>
      </c>
      <c r="I86" s="688">
        <f>'4C2 Open-burning '!AH112</f>
        <v>5.836791672942028E-2</v>
      </c>
      <c r="J86" s="93">
        <f>'4D Wastewater treatment and dis'!AV149</f>
        <v>212.53895965397319</v>
      </c>
      <c r="K86" s="3">
        <f>'4D Wastewater treatment and dis'!AW149</f>
        <v>3.6211939201999317</v>
      </c>
      <c r="L86" s="465">
        <f t="shared" si="101"/>
        <v>8196.079472862044</v>
      </c>
      <c r="M86" s="688">
        <f t="shared" si="102"/>
        <v>18.641468986936044</v>
      </c>
      <c r="N86" s="465">
        <f t="shared" si="103"/>
        <v>1581.86179689143</v>
      </c>
      <c r="O86" s="464">
        <f t="shared" si="104"/>
        <v>118.59896220497515</v>
      </c>
      <c r="P86" s="465">
        <f t="shared" si="105"/>
        <v>5585.8882679954158</v>
      </c>
      <c r="Q86" s="465">
        <f t="shared" si="106"/>
        <v>8196.079472862044</v>
      </c>
      <c r="R86" s="467">
        <f t="shared" si="107"/>
        <v>1600.5032658783659</v>
      </c>
      <c r="S86" s="464">
        <f t="shared" si="108"/>
        <v>118.59896220497515</v>
      </c>
      <c r="T86" s="465">
        <f t="shared" si="109"/>
        <v>5585.8882679954158</v>
      </c>
      <c r="U86" s="465">
        <f t="shared" si="110"/>
        <v>15501.069968940799</v>
      </c>
    </row>
    <row r="87" spans="1:42">
      <c r="A87">
        <f>'Input data'!A142</f>
        <v>2042</v>
      </c>
      <c r="C87" s="116">
        <f>'4A SWD Case 1'!BN112</f>
        <v>377.07404547959305</v>
      </c>
      <c r="D87" s="3">
        <f>'4B Biological treatment '!T140</f>
        <v>0.896089606864377</v>
      </c>
      <c r="E87" s="152">
        <f>'4B Biological treatment '!U140</f>
        <v>40.32403230889696</v>
      </c>
      <c r="F87" s="152">
        <f>'4B Biological treatment '!W140</f>
        <v>2.4194419385338177</v>
      </c>
      <c r="G87" s="688">
        <f>'4C2 Open-burning '!R113</f>
        <v>11.796174689802916</v>
      </c>
      <c r="H87" s="688">
        <f>'4C2 Open-burning '!Z113</f>
        <v>3.9690516388355039</v>
      </c>
      <c r="I87" s="688">
        <f>'4C2 Open-burning '!AH113</f>
        <v>5.5255897826750736E-2</v>
      </c>
      <c r="J87" s="93">
        <f>'4D Wastewater treatment and dis'!AV150</f>
        <v>215.78278030125657</v>
      </c>
      <c r="K87" s="3">
        <f>'4D Wastewater treatment and dis'!AW150</f>
        <v>3.6436849004121257</v>
      </c>
      <c r="L87" s="465">
        <f t="shared" si="101"/>
        <v>7918.5549550714541</v>
      </c>
      <c r="M87" s="688">
        <f t="shared" si="102"/>
        <v>18.817881744151919</v>
      </c>
      <c r="N87" s="465">
        <f t="shared" si="103"/>
        <v>1596.8316794323196</v>
      </c>
      <c r="O87" s="464">
        <f t="shared" si="104"/>
        <v>112.27558743164121</v>
      </c>
      <c r="P87" s="465">
        <f t="shared" si="105"/>
        <v>5660.9807054541461</v>
      </c>
      <c r="Q87" s="465">
        <f t="shared" si="106"/>
        <v>7918.5549550714541</v>
      </c>
      <c r="R87" s="467">
        <f t="shared" si="107"/>
        <v>1615.6495611764715</v>
      </c>
      <c r="S87" s="464">
        <f t="shared" si="108"/>
        <v>112.27558743164121</v>
      </c>
      <c r="T87" s="465">
        <f t="shared" si="109"/>
        <v>5660.9807054541461</v>
      </c>
      <c r="U87" s="465">
        <f t="shared" si="110"/>
        <v>15307.460809133714</v>
      </c>
    </row>
    <row r="88" spans="1:42">
      <c r="A88">
        <f>'Input data'!A143</f>
        <v>2043</v>
      </c>
      <c r="C88" s="116">
        <f>'4A SWD Case 1'!BN113</f>
        <v>364.284597583204</v>
      </c>
      <c r="D88" s="3">
        <f>'4B Biological treatment '!T141</f>
        <v>0.90472863387573854</v>
      </c>
      <c r="E88" s="152">
        <f>'4B Biological treatment '!U141</f>
        <v>40.712788524408225</v>
      </c>
      <c r="F88" s="152">
        <f>'4B Biological treatment '!W141</f>
        <v>2.4427673114644937</v>
      </c>
      <c r="G88" s="688">
        <f>'4C2 Open-burning '!R114</f>
        <v>11.134156537847643</v>
      </c>
      <c r="H88" s="688">
        <f>'4C2 Open-burning '!Z114</f>
        <v>3.7463027986349324</v>
      </c>
      <c r="I88" s="688">
        <f>'4C2 Open-burning '!AH114</f>
        <v>5.2154858012927324E-2</v>
      </c>
      <c r="J88" s="93">
        <f>'4D Wastewater treatment and dis'!AV151</f>
        <v>219.05869640380388</v>
      </c>
      <c r="K88" s="3">
        <f>'4D Wastewater treatment and dis'!AW151</f>
        <v>3.666315570517225</v>
      </c>
      <c r="L88" s="465">
        <f t="shared" si="101"/>
        <v>7649.9765492472843</v>
      </c>
      <c r="M88" s="688">
        <f t="shared" si="102"/>
        <v>18.999301311390511</v>
      </c>
      <c r="N88" s="465">
        <f t="shared" si="103"/>
        <v>1612.2264255665659</v>
      </c>
      <c r="O88" s="464">
        <f t="shared" si="104"/>
        <v>105.9745212931887</v>
      </c>
      <c r="P88" s="465">
        <f t="shared" si="105"/>
        <v>5736.7904513402209</v>
      </c>
      <c r="Q88" s="465">
        <f t="shared" si="106"/>
        <v>7649.9765492472843</v>
      </c>
      <c r="R88" s="467">
        <f t="shared" si="107"/>
        <v>1631.2257268779565</v>
      </c>
      <c r="S88" s="464">
        <f t="shared" si="108"/>
        <v>105.9745212931887</v>
      </c>
      <c r="T88" s="465">
        <f t="shared" si="109"/>
        <v>5736.7904513402209</v>
      </c>
      <c r="U88" s="465">
        <f t="shared" si="110"/>
        <v>15123.96724875865</v>
      </c>
    </row>
    <row r="89" spans="1:42">
      <c r="A89">
        <f>'Input data'!A144</f>
        <v>2044</v>
      </c>
      <c r="C89" s="116">
        <f>'4A SWD Case 1'!BN114</f>
        <v>351.89602474151496</v>
      </c>
      <c r="D89" s="3">
        <f>'4B Biological treatment '!T142</f>
        <v>0.91370738037125498</v>
      </c>
      <c r="E89" s="152">
        <f>'4B Biological treatment '!U142</f>
        <v>41.116832116706469</v>
      </c>
      <c r="F89" s="152">
        <f>'4B Biological treatment '!W142</f>
        <v>2.4670099270023877</v>
      </c>
      <c r="G89" s="688">
        <f>'4C2 Open-burning '!R115</f>
        <v>10.47444933348603</v>
      </c>
      <c r="H89" s="688">
        <f>'4C2 Open-burning '!Z115</f>
        <v>3.5243315215491062</v>
      </c>
      <c r="I89" s="688">
        <f>'4C2 Open-burning '!AH115</f>
        <v>4.9064643190041744E-2</v>
      </c>
      <c r="J89" s="93">
        <f>'4D Wastewater treatment and dis'!AV152</f>
        <v>222.36698151436079</v>
      </c>
      <c r="K89" s="3">
        <f>'4D Wastewater treatment and dis'!AW152</f>
        <v>3.6890867981193103</v>
      </c>
      <c r="L89" s="465">
        <f t="shared" si="101"/>
        <v>7389.8165195718138</v>
      </c>
      <c r="M89" s="688">
        <f t="shared" si="102"/>
        <v>19.187854987796356</v>
      </c>
      <c r="N89" s="465">
        <f t="shared" si="103"/>
        <v>1628.2265518215761</v>
      </c>
      <c r="O89" s="464">
        <f t="shared" si="104"/>
        <v>99.695450674930214</v>
      </c>
      <c r="P89" s="465">
        <f t="shared" si="105"/>
        <v>5813.3235192185621</v>
      </c>
      <c r="Q89" s="465">
        <f t="shared" si="106"/>
        <v>7389.8165195718138</v>
      </c>
      <c r="R89" s="467">
        <f t="shared" si="107"/>
        <v>1647.4144068093724</v>
      </c>
      <c r="S89" s="464">
        <f t="shared" si="108"/>
        <v>99.695450674930214</v>
      </c>
      <c r="T89" s="465">
        <f t="shared" si="109"/>
        <v>5813.3235192185621</v>
      </c>
      <c r="U89" s="465">
        <f t="shared" si="110"/>
        <v>14950.249896274678</v>
      </c>
    </row>
    <row r="90" spans="1:42">
      <c r="A90">
        <f>'Input data'!A145</f>
        <v>2045</v>
      </c>
      <c r="C90" s="116">
        <f>'4A SWD Case 1'!BN115</f>
        <v>340.11597072230302</v>
      </c>
      <c r="D90" s="3">
        <f>'4B Biological treatment '!T143</f>
        <v>0.92302914992576079</v>
      </c>
      <c r="E90" s="152">
        <f>'4B Biological treatment '!U143</f>
        <v>41.53631174665923</v>
      </c>
      <c r="F90" s="152">
        <f>'4B Biological treatment '!W143</f>
        <v>2.4921787047995538</v>
      </c>
      <c r="G90" s="688">
        <f>'4C2 Open-burning '!R116</f>
        <v>9.8170207118697927</v>
      </c>
      <c r="H90" s="688">
        <f>'4C2 Open-burning '!Z116</f>
        <v>3.3031269177974401</v>
      </c>
      <c r="I90" s="688">
        <f>'4C2 Open-burning '!AH116</f>
        <v>4.5985101753968347E-2</v>
      </c>
      <c r="J90" s="93">
        <f>'4D Wastewater treatment and dis'!AV153</f>
        <v>225.70791134560363</v>
      </c>
      <c r="K90" s="3">
        <f>'4D Wastewater treatment and dis'!AW153</f>
        <v>3.711999456211089</v>
      </c>
      <c r="L90" s="465">
        <f t="shared" si="101"/>
        <v>7142.4353851683636</v>
      </c>
      <c r="M90" s="688">
        <f t="shared" si="102"/>
        <v>19.383612148440978</v>
      </c>
      <c r="N90" s="465">
        <f t="shared" si="103"/>
        <v>1644.8379451677056</v>
      </c>
      <c r="O90" s="464">
        <f t="shared" si="104"/>
        <v>93.438067529346228</v>
      </c>
      <c r="P90" s="465">
        <f t="shared" si="105"/>
        <v>5890.5859696831139</v>
      </c>
      <c r="Q90" s="465">
        <f t="shared" si="106"/>
        <v>7142.4353851683636</v>
      </c>
      <c r="R90" s="467">
        <f t="shared" si="107"/>
        <v>1664.2215573161466</v>
      </c>
      <c r="S90" s="464">
        <f t="shared" si="108"/>
        <v>93.438067529346228</v>
      </c>
      <c r="T90" s="465">
        <f t="shared" si="109"/>
        <v>5890.5859696831139</v>
      </c>
      <c r="U90" s="465">
        <f t="shared" si="110"/>
        <v>14790.680979696972</v>
      </c>
    </row>
    <row r="91" spans="1:42">
      <c r="A91">
        <f>'Input data'!A146</f>
        <v>2046</v>
      </c>
      <c r="C91" s="116">
        <f>'4A SWD Case 1'!BN116</f>
        <v>328.95962576738259</v>
      </c>
      <c r="D91" s="3">
        <f>'4B Biological treatment '!T144</f>
        <v>0.93237717248149377</v>
      </c>
      <c r="E91" s="152">
        <f>'4B Biological treatment '!U144</f>
        <v>41.956972761667217</v>
      </c>
      <c r="F91" s="152">
        <f>'4B Biological treatment '!W144</f>
        <v>2.5174183657000331</v>
      </c>
      <c r="G91" s="688">
        <f>'4C2 Open-burning '!R117</f>
        <v>9.1644826462201969</v>
      </c>
      <c r="H91" s="688">
        <f>'4C2 Open-burning '!Z117</f>
        <v>3.0835678364023558</v>
      </c>
      <c r="I91" s="688">
        <f>'4C2 Open-burning '!AH117</f>
        <v>4.2928468766431443E-2</v>
      </c>
      <c r="J91" s="93">
        <f>'4D Wastewater treatment and dis'!AV154</f>
        <v>228.82994288598573</v>
      </c>
      <c r="K91" s="3">
        <f>'4D Wastewater treatment and dis'!AW154</f>
        <v>3.7309486194433799</v>
      </c>
      <c r="L91" s="465">
        <f t="shared" si="101"/>
        <v>6908.1521411150343</v>
      </c>
      <c r="M91" s="688">
        <f t="shared" si="102"/>
        <v>19.57992062211137</v>
      </c>
      <c r="N91" s="465">
        <f t="shared" si="103"/>
        <v>1661.4961213620218</v>
      </c>
      <c r="O91" s="464">
        <f t="shared" si="104"/>
        <v>87.227232528263414</v>
      </c>
      <c r="P91" s="465">
        <f t="shared" si="105"/>
        <v>5962.0228726331479</v>
      </c>
      <c r="Q91" s="465">
        <f t="shared" si="106"/>
        <v>6908.1521411150343</v>
      </c>
      <c r="R91" s="467">
        <f t="shared" si="107"/>
        <v>1681.0760419841331</v>
      </c>
      <c r="S91" s="464">
        <f t="shared" si="108"/>
        <v>87.227232528263414</v>
      </c>
      <c r="T91" s="465">
        <f t="shared" si="109"/>
        <v>5962.0228726331479</v>
      </c>
      <c r="U91" s="465">
        <f t="shared" si="110"/>
        <v>14638.478288260578</v>
      </c>
    </row>
    <row r="92" spans="1:42">
      <c r="A92">
        <f>'Input data'!A147</f>
        <v>2047</v>
      </c>
      <c r="C92" s="116">
        <f>'4A SWD Case 1'!BN117</f>
        <v>318.70389865142175</v>
      </c>
      <c r="D92" s="3">
        <f>'4B Biological treatment '!T145</f>
        <v>0.93447488003222889</v>
      </c>
      <c r="E92" s="152">
        <f>'4B Biological treatment '!U145</f>
        <v>42.051369601450297</v>
      </c>
      <c r="F92" s="152">
        <f>'4B Biological treatment '!W145</f>
        <v>2.5230821760870179</v>
      </c>
      <c r="G92" s="688">
        <f>'4C2 Open-burning '!R118</f>
        <v>8.5137490095967827</v>
      </c>
      <c r="H92" s="688">
        <f>'4C2 Open-burning '!Z118</f>
        <v>2.8646158901313141</v>
      </c>
      <c r="I92" s="688">
        <f>'4C2 Open-burning '!AH118</f>
        <v>3.9880288124551327E-2</v>
      </c>
      <c r="J92" s="93">
        <f>'4D Wastewater treatment and dis'!AV155</f>
        <v>231.97796755845934</v>
      </c>
      <c r="K92" s="3">
        <f>'4D Wastewater treatment and dis'!AW155</f>
        <v>3.74999451512174</v>
      </c>
      <c r="L92" s="465">
        <f t="shared" si="101"/>
        <v>6692.7818716798565</v>
      </c>
      <c r="M92" s="688">
        <f t="shared" si="102"/>
        <v>19.623972480676805</v>
      </c>
      <c r="N92" s="465">
        <f t="shared" si="103"/>
        <v>1665.2342362174318</v>
      </c>
      <c r="O92" s="464">
        <f t="shared" si="104"/>
        <v>81.033572020965295</v>
      </c>
      <c r="P92" s="465">
        <f t="shared" si="105"/>
        <v>6034.0356184153861</v>
      </c>
      <c r="Q92" s="465">
        <f t="shared" si="106"/>
        <v>6692.7818716798565</v>
      </c>
      <c r="R92" s="467">
        <f t="shared" si="107"/>
        <v>1684.8582086981087</v>
      </c>
      <c r="S92" s="464">
        <f t="shared" si="108"/>
        <v>81.033572020965295</v>
      </c>
      <c r="T92" s="465">
        <f t="shared" si="109"/>
        <v>6034.0356184153861</v>
      </c>
      <c r="U92" s="465">
        <f t="shared" si="110"/>
        <v>14492.709270814317</v>
      </c>
    </row>
    <row r="93" spans="1:42">
      <c r="A93">
        <f>'Input data'!A148</f>
        <v>2048</v>
      </c>
      <c r="C93" s="116">
        <f>'4A SWD Case 1'!BN118</f>
        <v>309.31404652090561</v>
      </c>
      <c r="D93" s="3">
        <f>'4B Biological treatment '!T146</f>
        <v>0.93572835650897712</v>
      </c>
      <c r="E93" s="152">
        <f>'4B Biological treatment '!U146</f>
        <v>42.107776042903964</v>
      </c>
      <c r="F93" s="152">
        <f>'4B Biological treatment '!W146</f>
        <v>2.526466562574238</v>
      </c>
      <c r="G93" s="688">
        <f>'4C2 Open-burning '!R119</f>
        <v>8.502485492904615</v>
      </c>
      <c r="H93" s="688">
        <f>'4C2 Open-burning '!Z119</f>
        <v>2.8608260616011587</v>
      </c>
      <c r="I93" s="688">
        <f>'4C2 Open-burning '!AH119</f>
        <v>3.9827527314892378E-2</v>
      </c>
      <c r="J93" s="93">
        <f>'4D Wastewater treatment and dis'!AV156</f>
        <v>235.15216938634282</v>
      </c>
      <c r="K93" s="3">
        <f>'4D Wastewater treatment and dis'!AW156</f>
        <v>3.769137637049826</v>
      </c>
      <c r="L93" s="465">
        <f t="shared" si="101"/>
        <v>6495.5949769390181</v>
      </c>
      <c r="M93" s="688">
        <f t="shared" si="102"/>
        <v>19.65029548668852</v>
      </c>
      <c r="N93" s="465">
        <f t="shared" si="103"/>
        <v>1667.467931298997</v>
      </c>
      <c r="O93" s="464">
        <f t="shared" si="104"/>
        <v>80.926366254145591</v>
      </c>
      <c r="P93" s="465">
        <f t="shared" si="105"/>
        <v>6106.6282245986458</v>
      </c>
      <c r="Q93" s="465">
        <f t="shared" si="106"/>
        <v>6495.5949769390181</v>
      </c>
      <c r="R93" s="467">
        <f t="shared" si="107"/>
        <v>1687.1182267856855</v>
      </c>
      <c r="S93" s="464">
        <f t="shared" si="108"/>
        <v>80.926366254145591</v>
      </c>
      <c r="T93" s="465">
        <f t="shared" si="109"/>
        <v>6106.6282245986458</v>
      </c>
      <c r="U93" s="465">
        <f t="shared" si="110"/>
        <v>14370.267794577496</v>
      </c>
    </row>
    <row r="94" spans="1:42">
      <c r="A94">
        <f>'Input data'!A149</f>
        <v>2049</v>
      </c>
      <c r="C94" s="116">
        <f>'4A SWD Case 1'!BN119</f>
        <v>301.04051601564004</v>
      </c>
      <c r="D94" s="3">
        <f>'4B Biological treatment '!T147</f>
        <v>0.93702565315076758</v>
      </c>
      <c r="E94" s="152">
        <f>'4B Biological treatment '!U147</f>
        <v>42.166154391784538</v>
      </c>
      <c r="F94" s="152">
        <f>'4B Biological treatment '!W147</f>
        <v>2.5299692635070721</v>
      </c>
      <c r="G94" s="688">
        <f>'4C2 Open-burning '!R120</f>
        <v>8.491308719896784</v>
      </c>
      <c r="H94" s="688">
        <f>'4C2 Open-burning '!Z120</f>
        <v>2.8570654196650942</v>
      </c>
      <c r="I94" s="688">
        <f>'4C2 Open-burning '!AH120</f>
        <v>3.9775172831884656E-2</v>
      </c>
      <c r="J94" s="93">
        <f>'4D Wastewater treatment and dis'!AV157</f>
        <v>238.35273359440882</v>
      </c>
      <c r="K94" s="3">
        <f>'4D Wastewater treatment and dis'!AW157</f>
        <v>3.7883784815520856</v>
      </c>
      <c r="L94" s="465">
        <f t="shared" si="101"/>
        <v>6321.8508363284409</v>
      </c>
      <c r="M94" s="688">
        <f t="shared" si="102"/>
        <v>19.677538716166119</v>
      </c>
      <c r="N94" s="465">
        <f t="shared" si="103"/>
        <v>1669.7797139146678</v>
      </c>
      <c r="O94" s="464">
        <f t="shared" si="104"/>
        <v>80.81998611074799</v>
      </c>
      <c r="P94" s="465">
        <f t="shared" si="105"/>
        <v>6179.8047347637312</v>
      </c>
      <c r="Q94" s="465">
        <f t="shared" si="106"/>
        <v>6321.8508363284409</v>
      </c>
      <c r="R94" s="467">
        <f t="shared" si="107"/>
        <v>1689.4572526308339</v>
      </c>
      <c r="S94" s="464">
        <f t="shared" si="108"/>
        <v>80.81998611074799</v>
      </c>
      <c r="T94" s="465">
        <f t="shared" si="109"/>
        <v>6179.8047347637312</v>
      </c>
      <c r="U94" s="465">
        <f t="shared" si="110"/>
        <v>14271.932809833754</v>
      </c>
    </row>
    <row r="95" spans="1:42">
      <c r="A95">
        <f>'Input data'!A150</f>
        <v>2050</v>
      </c>
      <c r="C95" s="116">
        <f>'4A SWD Case 1'!BN120</f>
        <v>293.84280068789934</v>
      </c>
      <c r="D95" s="3">
        <f>'4B Biological treatment '!T148</f>
        <v>0.9379745019193505</v>
      </c>
      <c r="E95" s="152">
        <f>'4B Biological treatment '!U148</f>
        <v>42.208852586370767</v>
      </c>
      <c r="F95" s="152">
        <f>'4B Biological treatment '!W148</f>
        <v>2.5325311551822463</v>
      </c>
      <c r="G95" s="688">
        <f>'4C2 Open-burning '!R121</f>
        <v>8.480217835584158</v>
      </c>
      <c r="H95" s="688">
        <f>'4C2 Open-burning '!Z121</f>
        <v>2.8533336766454509</v>
      </c>
      <c r="I95" s="688">
        <f>'4C2 Open-burning '!AH121</f>
        <v>3.9723220670569465E-2</v>
      </c>
      <c r="J95" s="93">
        <f>'4D Wastewater treatment and dis'!AV158</f>
        <v>241.57984661635467</v>
      </c>
      <c r="K95" s="3">
        <f>'4D Wastewater treatment and dis'!AW158</f>
        <v>3.8077175474866229</v>
      </c>
      <c r="L95" s="465">
        <f t="shared" si="101"/>
        <v>6170.6988144458865</v>
      </c>
      <c r="M95" s="688">
        <f t="shared" si="102"/>
        <v>19.69746454030636</v>
      </c>
      <c r="N95" s="465">
        <f t="shared" si="103"/>
        <v>1671.4705624202825</v>
      </c>
      <c r="O95" s="464">
        <f t="shared" si="104"/>
        <v>80.714423453015158</v>
      </c>
      <c r="P95" s="465">
        <f t="shared" si="105"/>
        <v>6253.5692186643009</v>
      </c>
      <c r="Q95" s="417">
        <f t="shared" si="106"/>
        <v>6170.6988144458865</v>
      </c>
      <c r="R95" s="463">
        <f t="shared" si="107"/>
        <v>1691.1680269605888</v>
      </c>
      <c r="S95" s="460">
        <f t="shared" si="108"/>
        <v>80.714423453015158</v>
      </c>
      <c r="T95" s="417">
        <f t="shared" si="109"/>
        <v>6253.5692186643009</v>
      </c>
      <c r="U95" s="417">
        <f t="shared" si="110"/>
        <v>14196.15048352379</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0.42961291719026418</v>
      </c>
      <c r="E98" s="152">
        <f>'4B Biological treatment '!U151</f>
        <v>24.145627780809392</v>
      </c>
      <c r="F98" s="152">
        <f>'4B Biological treatment '!W151</f>
        <v>1.4487376668485634</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9.0218712609955478</v>
      </c>
      <c r="N98" s="465">
        <f t="shared" si="113"/>
        <v>956.16686012005187</v>
      </c>
      <c r="O98" s="464">
        <f t="shared" si="114"/>
        <v>307.81392004196488</v>
      </c>
      <c r="P98" s="465">
        <f t="shared" si="115"/>
        <v>3922.0560748079342</v>
      </c>
      <c r="Q98" s="465">
        <f t="shared" si="74"/>
        <v>16839.898969230198</v>
      </c>
      <c r="R98" s="467">
        <f t="shared" si="75"/>
        <v>965.18873138104743</v>
      </c>
      <c r="S98" s="464">
        <f t="shared" si="76"/>
        <v>307.81392004196488</v>
      </c>
      <c r="T98" s="465">
        <f t="shared" si="77"/>
        <v>3922.0560748079342</v>
      </c>
      <c r="U98" s="465">
        <f t="shared" si="78"/>
        <v>22034.957695461144</v>
      </c>
    </row>
    <row r="99" spans="1:21">
      <c r="A99">
        <f>'Input data'!A120</f>
        <v>2020</v>
      </c>
      <c r="C99" s="116">
        <f>'4A SWD Case 2'!BG90</f>
        <v>782.12846410827001</v>
      </c>
      <c r="D99" s="3">
        <f>'4B Biological treatment '!T152</f>
        <v>0.50215811410100653</v>
      </c>
      <c r="E99" s="152">
        <f>'4B Biological treatment '!U152</f>
        <v>26.291170481291964</v>
      </c>
      <c r="F99" s="152">
        <f>'4B Biological treatment '!W152</f>
        <v>1.5774702288775178</v>
      </c>
      <c r="G99" s="688">
        <f>'4C2 Open-burning '!R125</f>
        <v>31.469339877453482</v>
      </c>
      <c r="H99" s="688">
        <f>'4C2 Open-burning '!Z125</f>
        <v>10.588469423197822</v>
      </c>
      <c r="I99" s="688">
        <f>'4C2 Open-burning '!AH125</f>
        <v>0.14740936571980473</v>
      </c>
      <c r="J99" s="93">
        <f>'4D Wastewater treatment and dis'!AV162</f>
        <v>149.64833972612956</v>
      </c>
      <c r="K99" s="3">
        <f>'4D Wastewater treatment and dis'!AW162</f>
        <v>2.9904262793007734</v>
      </c>
      <c r="L99" s="465">
        <f t="shared" si="111"/>
        <v>16424.697746273669</v>
      </c>
      <c r="M99" s="688">
        <f t="shared" si="112"/>
        <v>10.545320396121138</v>
      </c>
      <c r="N99" s="465">
        <f t="shared" si="113"/>
        <v>1041.1303510591617</v>
      </c>
      <c r="O99" s="464">
        <f t="shared" si="114"/>
        <v>299.52410113774715</v>
      </c>
      <c r="P99" s="465">
        <f t="shared" si="115"/>
        <v>4069.6472808319609</v>
      </c>
      <c r="Q99" s="465">
        <f t="shared" si="74"/>
        <v>16424.697746273669</v>
      </c>
      <c r="R99" s="467">
        <f t="shared" si="75"/>
        <v>1051.6756714552828</v>
      </c>
      <c r="S99" s="464">
        <f t="shared" si="76"/>
        <v>299.52410113774715</v>
      </c>
      <c r="T99" s="465">
        <f t="shared" si="77"/>
        <v>4069.6472808319609</v>
      </c>
      <c r="U99" s="465">
        <f t="shared" si="78"/>
        <v>21845.544799698659</v>
      </c>
    </row>
    <row r="100" spans="1:21">
      <c r="A100">
        <f>'Input data'!A121</f>
        <v>2021</v>
      </c>
      <c r="C100" s="116">
        <f>'4A SWD Case 2'!BG91</f>
        <v>761.07358535292883</v>
      </c>
      <c r="D100" s="3">
        <f>'4B Biological treatment '!T153</f>
        <v>0.65611062967576417</v>
      </c>
      <c r="E100" s="152">
        <f>'4B Biological treatment '!U153</f>
        <v>31.857363684031053</v>
      </c>
      <c r="F100" s="152">
        <f>'4B Biological treatment '!W153</f>
        <v>1.9114418210418633</v>
      </c>
      <c r="G100" s="688">
        <f>'4C2 Open-burning '!R126</f>
        <v>28.931012243244801</v>
      </c>
      <c r="H100" s="688">
        <f>'4C2 Open-burning '!Z126</f>
        <v>9.7343998861328558</v>
      </c>
      <c r="I100" s="688">
        <f>'4C2 Open-burning '!AH126</f>
        <v>0.13551927625479393</v>
      </c>
      <c r="J100" s="93">
        <f>'4D Wastewater treatment and dis'!AV163</f>
        <v>155.42542691703585</v>
      </c>
      <c r="K100" s="3">
        <f>'4D Wastewater treatment and dis'!AW163</f>
        <v>3.0248585614028385</v>
      </c>
      <c r="L100" s="465">
        <f t="shared" si="111"/>
        <v>15982.545292411505</v>
      </c>
      <c r="M100" s="688">
        <f t="shared" si="112"/>
        <v>13.778323223191048</v>
      </c>
      <c r="N100" s="465">
        <f t="shared" si="113"/>
        <v>1261.5516018876297</v>
      </c>
      <c r="O100" s="464">
        <f t="shared" si="114"/>
        <v>275.36438549102087</v>
      </c>
      <c r="P100" s="465">
        <f t="shared" si="115"/>
        <v>4201.6401192926323</v>
      </c>
      <c r="Q100" s="465">
        <f t="shared" si="74"/>
        <v>15982.545292411505</v>
      </c>
      <c r="R100" s="467">
        <f t="shared" si="75"/>
        <v>1275.3299251108208</v>
      </c>
      <c r="S100" s="464">
        <f t="shared" si="76"/>
        <v>275.36438549102087</v>
      </c>
      <c r="T100" s="465">
        <f t="shared" si="77"/>
        <v>4201.6401192926323</v>
      </c>
      <c r="U100" s="465">
        <f t="shared" si="78"/>
        <v>21734.879722305981</v>
      </c>
    </row>
    <row r="101" spans="1:21">
      <c r="A101">
        <f>'Input data'!A122</f>
        <v>2022</v>
      </c>
      <c r="C101" s="116">
        <f>'4A SWD Case 2'!BG92</f>
        <v>735.24390033839438</v>
      </c>
      <c r="D101" s="3">
        <f>'4B Biological treatment '!T154</f>
        <v>0.76717020403859892</v>
      </c>
      <c r="E101" s="152">
        <f>'4B Biological treatment '!U154</f>
        <v>34.522659181736948</v>
      </c>
      <c r="F101" s="152">
        <f>'4B Biological treatment '!W154</f>
        <v>2.0713595509042171</v>
      </c>
      <c r="G101" s="688">
        <f>'4C2 Open-burning '!R127</f>
        <v>24.077995052126731</v>
      </c>
      <c r="H101" s="688">
        <f>'4C2 Open-burning '!Z127</f>
        <v>8.1015081782510823</v>
      </c>
      <c r="I101" s="688">
        <f>'4C2 Open-burning '!AH127</f>
        <v>0.11278666766637657</v>
      </c>
      <c r="J101" s="93">
        <f>'4D Wastewater treatment and dis'!AV164</f>
        <v>161.31571105616422</v>
      </c>
      <c r="K101" s="3">
        <f>'4D Wastewater treatment and dis'!AW164</f>
        <v>3.0596873027184164</v>
      </c>
      <c r="L101" s="465">
        <f t="shared" si="111"/>
        <v>15440.121907106282</v>
      </c>
      <c r="M101" s="688">
        <f t="shared" si="112"/>
        <v>16.110574284810578</v>
      </c>
      <c r="N101" s="465">
        <f t="shared" si="113"/>
        <v>1367.0973035967831</v>
      </c>
      <c r="O101" s="464">
        <f t="shared" si="114"/>
        <v>229.17353377197622</v>
      </c>
      <c r="P101" s="465">
        <f t="shared" si="115"/>
        <v>4336.1329960221574</v>
      </c>
      <c r="Q101" s="465">
        <f t="shared" si="74"/>
        <v>15440.121907106282</v>
      </c>
      <c r="R101" s="467">
        <f t="shared" si="75"/>
        <v>1383.2078778815937</v>
      </c>
      <c r="S101" s="464">
        <f t="shared" si="76"/>
        <v>229.17353377197622</v>
      </c>
      <c r="T101" s="465">
        <f t="shared" si="77"/>
        <v>4336.1329960221574</v>
      </c>
      <c r="U101" s="465">
        <f t="shared" si="78"/>
        <v>21388.636314782008</v>
      </c>
    </row>
    <row r="102" spans="1:21">
      <c r="A102">
        <f>'Input data'!A123</f>
        <v>2023</v>
      </c>
      <c r="C102" s="116">
        <f>'4A SWD Case 2'!BG93</f>
        <v>707.63905906790274</v>
      </c>
      <c r="D102" s="3">
        <f>'4B Biological treatment '!T155</f>
        <v>0.77056953121145377</v>
      </c>
      <c r="E102" s="152">
        <f>'4B Biological treatment '!U155</f>
        <v>34.675628904515413</v>
      </c>
      <c r="F102" s="152">
        <f>'4B Biological treatment '!W155</f>
        <v>2.080537734270925</v>
      </c>
      <c r="G102" s="688">
        <f>'4C2 Open-burning '!R128</f>
        <v>22.834713354191653</v>
      </c>
      <c r="H102" s="688">
        <f>'4C2 Open-burning '!Z128</f>
        <v>7.6831819504283345</v>
      </c>
      <c r="I102" s="688">
        <f>'4C2 Open-burning '!AH128</f>
        <v>0.10696286051893281</v>
      </c>
      <c r="J102" s="93">
        <f>'4D Wastewater treatment and dis'!AV165</f>
        <v>167.32103297774702</v>
      </c>
      <c r="K102" s="3">
        <f>'4D Wastewater treatment and dis'!AW165</f>
        <v>3.0949170681470224</v>
      </c>
      <c r="L102" s="465">
        <f t="shared" si="111"/>
        <v>14860.420240425958</v>
      </c>
      <c r="M102" s="688">
        <f t="shared" si="112"/>
        <v>16.181960155440528</v>
      </c>
      <c r="N102" s="465">
        <f t="shared" si="113"/>
        <v>1373.1549046188104</v>
      </c>
      <c r="O102" s="464">
        <f t="shared" si="114"/>
        <v>217.34002107405581</v>
      </c>
      <c r="P102" s="465">
        <f t="shared" si="115"/>
        <v>4473.1659836582639</v>
      </c>
      <c r="Q102" s="465">
        <f t="shared" si="74"/>
        <v>14860.420240425958</v>
      </c>
      <c r="R102" s="467">
        <f t="shared" si="75"/>
        <v>1389.3368647742509</v>
      </c>
      <c r="S102" s="464">
        <f t="shared" si="76"/>
        <v>217.34002107405581</v>
      </c>
      <c r="T102" s="465">
        <f t="shared" si="77"/>
        <v>4473.1659836582639</v>
      </c>
      <c r="U102" s="465">
        <f t="shared" si="78"/>
        <v>20940.26310993253</v>
      </c>
    </row>
    <row r="103" spans="1:21">
      <c r="A103">
        <f>'Input data'!A124</f>
        <v>2024</v>
      </c>
      <c r="C103" s="116">
        <f>'4A SWD Case 2'!BG94</f>
        <v>681.15886050445692</v>
      </c>
      <c r="D103" s="3">
        <f>'4B Biological treatment '!T156</f>
        <v>0.77436016318272949</v>
      </c>
      <c r="E103" s="152">
        <f>'4B Biological treatment '!U156</f>
        <v>34.846207343222822</v>
      </c>
      <c r="F103" s="152">
        <f>'4B Biological treatment '!W156</f>
        <v>2.0907724405933692</v>
      </c>
      <c r="G103" s="688">
        <f>'4C2 Open-burning '!R129</f>
        <v>21.570135720604139</v>
      </c>
      <c r="H103" s="688">
        <f>'4C2 Open-burning '!Z129</f>
        <v>7.2576902922415494</v>
      </c>
      <c r="I103" s="688">
        <f>'4C2 Open-burning '!AH129</f>
        <v>0.10103929848692009</v>
      </c>
      <c r="J103" s="93">
        <f>'4D Wastewater treatment and dis'!AV166</f>
        <v>173.44326090016418</v>
      </c>
      <c r="K103" s="3">
        <f>'4D Wastewater treatment and dis'!AW166</f>
        <v>3.1305524751492158</v>
      </c>
      <c r="L103" s="465">
        <f t="shared" si="111"/>
        <v>14304.336070593596</v>
      </c>
      <c r="M103" s="688">
        <f t="shared" si="112"/>
        <v>16.26156342683732</v>
      </c>
      <c r="N103" s="465">
        <f t="shared" si="113"/>
        <v>1379.9098107916238</v>
      </c>
      <c r="O103" s="464">
        <f t="shared" si="114"/>
        <v>205.3038143886219</v>
      </c>
      <c r="P103" s="465">
        <f t="shared" si="115"/>
        <v>4612.7797461997052</v>
      </c>
      <c r="Q103" s="465">
        <f t="shared" si="74"/>
        <v>14304.336070593596</v>
      </c>
      <c r="R103" s="467">
        <f t="shared" si="75"/>
        <v>1396.1713742184611</v>
      </c>
      <c r="S103" s="464">
        <f t="shared" si="76"/>
        <v>205.3038143886219</v>
      </c>
      <c r="T103" s="465">
        <f t="shared" si="77"/>
        <v>4612.7797461997052</v>
      </c>
      <c r="U103" s="465">
        <f t="shared" si="78"/>
        <v>20518.591005400383</v>
      </c>
    </row>
    <row r="104" spans="1:21">
      <c r="A104">
        <f>'Input data'!A125</f>
        <v>2025</v>
      </c>
      <c r="C104" s="116">
        <f>'4A SWD Case 2'!BG95</f>
        <v>655.72238027142259</v>
      </c>
      <c r="D104" s="3">
        <f>'4B Biological treatment '!T157</f>
        <v>0.77865910027545859</v>
      </c>
      <c r="E104" s="152">
        <f>'4B Biological treatment '!U157</f>
        <v>35.03965951239563</v>
      </c>
      <c r="F104" s="152">
        <f>'4B Biological treatment '!W157</f>
        <v>2.102379570743738</v>
      </c>
      <c r="G104" s="688">
        <f>'4C2 Open-burning '!R130</f>
        <v>20.283486456074918</v>
      </c>
      <c r="H104" s="688">
        <f>'4C2 Open-burning '!Z130</f>
        <v>6.8247722059740834</v>
      </c>
      <c r="I104" s="688">
        <f>'4C2 Open-burning '!AH130</f>
        <v>9.5012348041607686E-2</v>
      </c>
      <c r="J104" s="93">
        <f>'4D Wastewater treatment and dis'!AV167</f>
        <v>179.68429081250378</v>
      </c>
      <c r="K104" s="3">
        <f>'4D Wastewater treatment and dis'!AW167</f>
        <v>3.166598194351784</v>
      </c>
      <c r="L104" s="465">
        <f t="shared" si="111"/>
        <v>13770.169985699875</v>
      </c>
      <c r="M104" s="688">
        <f t="shared" si="112"/>
        <v>16.351841105784629</v>
      </c>
      <c r="N104" s="465">
        <f t="shared" si="113"/>
        <v>1387.570516690867</v>
      </c>
      <c r="O104" s="464">
        <f t="shared" si="114"/>
        <v>193.05753067442905</v>
      </c>
      <c r="P104" s="465">
        <f t="shared" si="115"/>
        <v>4755.015547311632</v>
      </c>
      <c r="Q104" s="465">
        <f t="shared" si="74"/>
        <v>13770.169985699875</v>
      </c>
      <c r="R104" s="467">
        <f t="shared" si="75"/>
        <v>1403.9223577966516</v>
      </c>
      <c r="S104" s="464">
        <f t="shared" si="76"/>
        <v>193.05753067442905</v>
      </c>
      <c r="T104" s="465">
        <f t="shared" si="77"/>
        <v>4755.015547311632</v>
      </c>
      <c r="U104" s="465">
        <f t="shared" si="78"/>
        <v>20122.165421482587</v>
      </c>
    </row>
    <row r="105" spans="1:21">
      <c r="A105">
        <f>'Input data'!A126</f>
        <v>2026</v>
      </c>
      <c r="C105" s="116">
        <f>'4A SWD Case 2'!BG96</f>
        <v>631.25216676207037</v>
      </c>
      <c r="D105" s="3">
        <f>'4B Biological treatment '!T158</f>
        <v>0.78318598842425535</v>
      </c>
      <c r="E105" s="152">
        <f>'4B Biological treatment '!U158</f>
        <v>35.243369479091484</v>
      </c>
      <c r="F105" s="152">
        <f>'4B Biological treatment '!W158</f>
        <v>2.1146021687454892</v>
      </c>
      <c r="G105" s="688">
        <f>'4C2 Open-burning '!R131</f>
        <v>18.985188117273655</v>
      </c>
      <c r="H105" s="688">
        <f>'4C2 Open-burning '!Z131</f>
        <v>6.3879345628548228</v>
      </c>
      <c r="I105" s="688">
        <f>'4C2 Open-burning '!AH131</f>
        <v>8.8930830749442052E-2</v>
      </c>
      <c r="J105" s="93">
        <f>'4D Wastewater treatment and dis'!AV168</f>
        <v>185.73930530907452</v>
      </c>
      <c r="K105" s="3">
        <f>'4D Wastewater treatment and dis'!AW168</f>
        <v>3.1977779387807019</v>
      </c>
      <c r="L105" s="465">
        <f t="shared" si="111"/>
        <v>13256.295502003479</v>
      </c>
      <c r="M105" s="688">
        <f t="shared" si="112"/>
        <v>16.446905756909363</v>
      </c>
      <c r="N105" s="465">
        <f t="shared" si="113"/>
        <v>1395.6374313720228</v>
      </c>
      <c r="O105" s="464">
        <f t="shared" si="114"/>
        <v>180.70037146955198</v>
      </c>
      <c r="P105" s="465">
        <f t="shared" si="115"/>
        <v>4891.8365725125823</v>
      </c>
      <c r="Q105" s="465">
        <f t="shared" si="74"/>
        <v>13256.295502003479</v>
      </c>
      <c r="R105" s="467">
        <f t="shared" si="75"/>
        <v>1412.0843371289322</v>
      </c>
      <c r="S105" s="464">
        <f t="shared" si="76"/>
        <v>180.70037146955198</v>
      </c>
      <c r="T105" s="465">
        <f t="shared" si="77"/>
        <v>4891.8365725125823</v>
      </c>
      <c r="U105" s="465">
        <f t="shared" si="78"/>
        <v>19740.916783114546</v>
      </c>
    </row>
    <row r="106" spans="1:21">
      <c r="A106">
        <f>'Input data'!A127</f>
        <v>2027</v>
      </c>
      <c r="C106" s="116">
        <f>'4A SWD Case 2'!BG97</f>
        <v>607.67026334333707</v>
      </c>
      <c r="D106" s="3">
        <f>'4B Biological treatment '!T159</f>
        <v>0.78809036041822733</v>
      </c>
      <c r="E106" s="152">
        <f>'4B Biological treatment '!U159</f>
        <v>35.464066218820221</v>
      </c>
      <c r="F106" s="152">
        <f>'4B Biological treatment '!W159</f>
        <v>2.1278439731292136</v>
      </c>
      <c r="G106" s="688">
        <f>'4C2 Open-burning '!R132</f>
        <v>17.661577035208047</v>
      </c>
      <c r="H106" s="688">
        <f>'4C2 Open-burning '!Z132</f>
        <v>5.9425799565861794</v>
      </c>
      <c r="I106" s="688">
        <f>'4C2 Open-burning '!AH132</f>
        <v>8.2730742955201886E-2</v>
      </c>
      <c r="J106" s="93">
        <f>'4D Wastewater treatment and dis'!AV169</f>
        <v>191.89613972825521</v>
      </c>
      <c r="K106" s="3">
        <f>'4D Wastewater treatment and dis'!AW169</f>
        <v>3.2292646929415123</v>
      </c>
      <c r="L106" s="465">
        <f t="shared" si="111"/>
        <v>12761.075530210079</v>
      </c>
      <c r="M106" s="688">
        <f t="shared" si="112"/>
        <v>16.549897568782775</v>
      </c>
      <c r="N106" s="465">
        <f t="shared" si="113"/>
        <v>1404.3770222652809</v>
      </c>
      <c r="O106" s="464">
        <f t="shared" si="114"/>
        <v>168.10228643963038</v>
      </c>
      <c r="P106" s="465">
        <f t="shared" si="115"/>
        <v>5030.8909891052281</v>
      </c>
      <c r="Q106" s="465">
        <f t="shared" si="74"/>
        <v>12761.075530210079</v>
      </c>
      <c r="R106" s="467">
        <f t="shared" si="75"/>
        <v>1420.9269198340637</v>
      </c>
      <c r="S106" s="464">
        <f t="shared" si="76"/>
        <v>168.10228643963038</v>
      </c>
      <c r="T106" s="465">
        <f t="shared" si="77"/>
        <v>5030.8909891052281</v>
      </c>
      <c r="U106" s="465">
        <f t="shared" si="78"/>
        <v>19380.995725589004</v>
      </c>
    </row>
    <row r="107" spans="1:21">
      <c r="A107">
        <f>'Input data'!A128</f>
        <v>2028</v>
      </c>
      <c r="C107" s="116">
        <f>'4A SWD Case 2'!BG98</f>
        <v>584.9061220143484</v>
      </c>
      <c r="D107" s="3">
        <f>'4B Biological treatment '!T160</f>
        <v>0.79295280419613556</v>
      </c>
      <c r="E107" s="152">
        <f>'4B Biological treatment '!U160</f>
        <v>35.6828761888261</v>
      </c>
      <c r="F107" s="152">
        <f>'4B Biological treatment '!W160</f>
        <v>2.1409725713295655</v>
      </c>
      <c r="G107" s="688">
        <f>'4C2 Open-burning '!R133</f>
        <v>16.311739327952857</v>
      </c>
      <c r="H107" s="688">
        <f>'4C2 Open-burning '!Z133</f>
        <v>5.48840089387914</v>
      </c>
      <c r="I107" s="688">
        <f>'4C2 Open-burning '!AH133</f>
        <v>7.6407803833313151E-2</v>
      </c>
      <c r="J107" s="93">
        <f>'4D Wastewater treatment and dis'!AV170</f>
        <v>198.15621215016739</v>
      </c>
      <c r="K107" s="3">
        <f>'4D Wastewater treatment and dis'!AW170</f>
        <v>3.2610614797895683</v>
      </c>
      <c r="L107" s="465">
        <f t="shared" si="111"/>
        <v>12283.028562301317</v>
      </c>
      <c r="M107" s="688">
        <f t="shared" si="112"/>
        <v>16.652008888118846</v>
      </c>
      <c r="N107" s="465">
        <f t="shared" si="113"/>
        <v>1413.0418970775133</v>
      </c>
      <c r="O107" s="464">
        <f t="shared" si="114"/>
        <v>155.25457728774188</v>
      </c>
      <c r="P107" s="465">
        <f t="shared" si="115"/>
        <v>5172.2095138882814</v>
      </c>
      <c r="Q107" s="465">
        <f t="shared" si="74"/>
        <v>12283.028562301317</v>
      </c>
      <c r="R107" s="467">
        <f t="shared" si="75"/>
        <v>1429.6939059656322</v>
      </c>
      <c r="S107" s="464">
        <f t="shared" si="76"/>
        <v>155.25457728774188</v>
      </c>
      <c r="T107" s="465">
        <f t="shared" si="77"/>
        <v>5172.2095138882814</v>
      </c>
      <c r="U107" s="465">
        <f t="shared" si="78"/>
        <v>19040.186559442973</v>
      </c>
    </row>
    <row r="108" spans="1:21">
      <c r="A108">
        <f>'Input data'!A129</f>
        <v>2029</v>
      </c>
      <c r="C108" s="116">
        <f>'4A SWD Case 2'!BG99</f>
        <v>562.89213295833292</v>
      </c>
      <c r="D108" s="3">
        <f>'4B Biological treatment '!T161</f>
        <v>0.79817953328759317</v>
      </c>
      <c r="E108" s="152">
        <f>'4B Biological treatment '!U161</f>
        <v>35.918078997941691</v>
      </c>
      <c r="F108" s="152">
        <f>'4B Biological treatment '!W161</f>
        <v>2.1550847398765014</v>
      </c>
      <c r="G108" s="688">
        <f>'4C2 Open-burning '!R134</f>
        <v>14.93472003386634</v>
      </c>
      <c r="H108" s="688">
        <f>'4C2 Open-burning '!Z134</f>
        <v>5.0250760593777697</v>
      </c>
      <c r="I108" s="688">
        <f>'4C2 Open-burning '!AH134</f>
        <v>6.9957540131701232E-2</v>
      </c>
      <c r="J108" s="93">
        <f>'4D Wastewater treatment and dis'!AV171</f>
        <v>204.52095870933701</v>
      </c>
      <c r="K108" s="3">
        <f>'4D Wastewater treatment and dis'!AW171</f>
        <v>3.2931713520456056</v>
      </c>
      <c r="L108" s="465">
        <f t="shared" si="111"/>
        <v>11820.734792124991</v>
      </c>
      <c r="M108" s="688">
        <f t="shared" si="112"/>
        <v>16.761770199039457</v>
      </c>
      <c r="N108" s="465">
        <f t="shared" si="113"/>
        <v>1422.3559283184909</v>
      </c>
      <c r="O108" s="464">
        <f t="shared" si="114"/>
        <v>142.1481547216269</v>
      </c>
      <c r="P108" s="465">
        <f t="shared" si="115"/>
        <v>5315.8232520302154</v>
      </c>
      <c r="Q108" s="465">
        <f t="shared" si="74"/>
        <v>11820.734792124991</v>
      </c>
      <c r="R108" s="467">
        <f t="shared" si="75"/>
        <v>1439.1176985175302</v>
      </c>
      <c r="S108" s="464">
        <f t="shared" si="76"/>
        <v>142.1481547216269</v>
      </c>
      <c r="T108" s="465">
        <f t="shared" si="77"/>
        <v>5315.8232520302154</v>
      </c>
      <c r="U108" s="465">
        <f t="shared" si="78"/>
        <v>18717.823897394363</v>
      </c>
    </row>
    <row r="109" spans="1:21">
      <c r="A109">
        <f>'Input data'!A130</f>
        <v>2030</v>
      </c>
      <c r="C109" s="116">
        <f>'4A SWD Case 2'!BG100</f>
        <v>541.56346267223944</v>
      </c>
      <c r="D109" s="3">
        <f>'4B Biological treatment '!T162</f>
        <v>0.80340648876551801</v>
      </c>
      <c r="E109" s="152">
        <f>'4B Biological treatment '!U162</f>
        <v>36.15329199444831</v>
      </c>
      <c r="F109" s="152">
        <f>'4B Biological treatment '!W162</f>
        <v>2.1691975196668984</v>
      </c>
      <c r="G109" s="688">
        <f>'4C2 Open-burning '!R135</f>
        <v>13.529520713203713</v>
      </c>
      <c r="H109" s="688">
        <f>'4C2 Open-burning '!Z135</f>
        <v>4.5522695086755505</v>
      </c>
      <c r="I109" s="688">
        <f>'4C2 Open-burning '!AH135</f>
        <v>6.3375274937216314E-2</v>
      </c>
      <c r="J109" s="93">
        <f>'4D Wastewater treatment and dis'!AV172</f>
        <v>210.99183381275145</v>
      </c>
      <c r="K109" s="3">
        <f>'4D Wastewater treatment and dis'!AW172</f>
        <v>3.3255973924888065</v>
      </c>
      <c r="L109" s="465">
        <f t="shared" si="111"/>
        <v>11372.832716117027</v>
      </c>
      <c r="M109" s="688">
        <f t="shared" si="112"/>
        <v>16.871536264075878</v>
      </c>
      <c r="N109" s="465">
        <f t="shared" si="113"/>
        <v>1431.6703629801532</v>
      </c>
      <c r="O109" s="464">
        <f t="shared" si="114"/>
        <v>128.77351562592733</v>
      </c>
      <c r="P109" s="465">
        <f t="shared" si="115"/>
        <v>5461.7637017393099</v>
      </c>
      <c r="Q109" s="465">
        <f t="shared" si="74"/>
        <v>11372.832716117027</v>
      </c>
      <c r="R109" s="467">
        <f t="shared" si="75"/>
        <v>1448.5418992442292</v>
      </c>
      <c r="S109" s="464">
        <f t="shared" si="76"/>
        <v>128.77351562592733</v>
      </c>
      <c r="T109" s="465">
        <f t="shared" si="77"/>
        <v>5461.7637017393099</v>
      </c>
      <c r="U109" s="465">
        <f t="shared" si="78"/>
        <v>18411.911832726495</v>
      </c>
    </row>
    <row r="110" spans="1:21">
      <c r="A110">
        <f>'Input data'!A131</f>
        <v>2031</v>
      </c>
      <c r="C110" s="116">
        <f>'4A SWD Case 2'!BG101</f>
        <v>520.85789880624964</v>
      </c>
      <c r="D110" s="3">
        <f>'4B Biological treatment '!T163</f>
        <v>0.80952223164445369</v>
      </c>
      <c r="E110" s="152">
        <f>'4B Biological treatment '!U163</f>
        <v>36.428500424000418</v>
      </c>
      <c r="F110" s="152">
        <f>'4B Biological treatment '!W163</f>
        <v>2.185710025440025</v>
      </c>
      <c r="G110" s="688">
        <f>'4C2 Open-burning '!R136</f>
        <v>11.932120220532866</v>
      </c>
      <c r="H110" s="688">
        <f>'4C2 Open-burning '!Z136</f>
        <v>4.014793147903057</v>
      </c>
      <c r="I110" s="688">
        <f>'4C2 Open-burning '!AH136</f>
        <v>5.5892696836052552E-2</v>
      </c>
      <c r="J110" s="93">
        <f>'4D Wastewater treatment and dis'!AV173</f>
        <v>212.79249544373798</v>
      </c>
      <c r="K110" s="3">
        <f>'4D Wastewater treatment and dis'!AW173</f>
        <v>3.3539789441183268</v>
      </c>
      <c r="L110" s="465">
        <f t="shared" si="111"/>
        <v>10938.015874931243</v>
      </c>
      <c r="M110" s="688">
        <f t="shared" si="112"/>
        <v>16.999966864533526</v>
      </c>
      <c r="N110" s="465">
        <f t="shared" si="113"/>
        <v>1442.5686167904164</v>
      </c>
      <c r="O110" s="464">
        <f t="shared" si="114"/>
        <v>113.56951234567336</v>
      </c>
      <c r="P110" s="465">
        <f t="shared" si="115"/>
        <v>5508.3758769951792</v>
      </c>
      <c r="Q110" s="465">
        <f t="shared" si="74"/>
        <v>10938.015874931243</v>
      </c>
      <c r="R110" s="467">
        <f t="shared" si="75"/>
        <v>1459.5685836549499</v>
      </c>
      <c r="S110" s="464">
        <f t="shared" si="76"/>
        <v>113.56951234567336</v>
      </c>
      <c r="T110" s="465">
        <f t="shared" si="77"/>
        <v>5508.3758769951792</v>
      </c>
      <c r="U110" s="465">
        <f t="shared" si="78"/>
        <v>18019.529847927046</v>
      </c>
    </row>
    <row r="111" spans="1:21">
      <c r="A111">
        <f>'Input data'!A132</f>
        <v>2032</v>
      </c>
      <c r="C111" s="116">
        <f>'4A SWD Case 2'!BG102</f>
        <v>500.59055711760493</v>
      </c>
      <c r="D111" s="3">
        <f>'4B Biological treatment '!T164</f>
        <v>0.81598194397364199</v>
      </c>
      <c r="E111" s="152">
        <f>'4B Biological treatment '!U164</f>
        <v>36.719187478813879</v>
      </c>
      <c r="F111" s="152">
        <f>'4B Biological treatment '!W164</f>
        <v>2.2031512487288332</v>
      </c>
      <c r="G111" s="688">
        <f>'4C2 Open-burning '!R137</f>
        <v>10.344645425665796</v>
      </c>
      <c r="H111" s="688">
        <f>'4C2 Open-burning '!Z137</f>
        <v>3.4806564805625984</v>
      </c>
      <c r="I111" s="688">
        <f>'4C2 Open-burning '!AH137</f>
        <v>4.8456612904238333E-2</v>
      </c>
      <c r="J111" s="93">
        <f>'4D Wastewater treatment and dis'!AV174</f>
        <v>214.60852441027842</v>
      </c>
      <c r="K111" s="3">
        <f>'4D Wastewater treatment and dis'!AW174</f>
        <v>3.3826027116200144</v>
      </c>
      <c r="L111" s="465">
        <f t="shared" si="111"/>
        <v>10512.401699469703</v>
      </c>
      <c r="M111" s="688">
        <f t="shared" si="112"/>
        <v>17.13562082344648</v>
      </c>
      <c r="N111" s="465">
        <f t="shared" si="113"/>
        <v>1454.0798241610298</v>
      </c>
      <c r="O111" s="464">
        <f t="shared" si="114"/>
        <v>98.459981517794233</v>
      </c>
      <c r="P111" s="465">
        <f t="shared" si="115"/>
        <v>5555.3858532180511</v>
      </c>
      <c r="Q111" s="465">
        <f t="shared" si="74"/>
        <v>10512.401699469703</v>
      </c>
      <c r="R111" s="467">
        <f t="shared" si="75"/>
        <v>1471.2154449844763</v>
      </c>
      <c r="S111" s="464">
        <f t="shared" si="76"/>
        <v>98.459981517794233</v>
      </c>
      <c r="T111" s="465">
        <f t="shared" si="77"/>
        <v>5555.3858532180511</v>
      </c>
      <c r="U111" s="465">
        <f t="shared" si="78"/>
        <v>17637.462979190022</v>
      </c>
    </row>
    <row r="112" spans="1:21">
      <c r="A112">
        <f>'Input data'!A133</f>
        <v>2033</v>
      </c>
      <c r="C112" s="116">
        <f>'4A SWD Case 2'!BG103</f>
        <v>480.73776143771016</v>
      </c>
      <c r="D112" s="3">
        <f>'4B Biological treatment '!T165</f>
        <v>0.82276025267448416</v>
      </c>
      <c r="E112" s="152">
        <f>'4B Biological treatment '!U165</f>
        <v>37.024211370351786</v>
      </c>
      <c r="F112" s="152">
        <f>'4B Biological treatment '!W165</f>
        <v>2.2214526822211074</v>
      </c>
      <c r="G112" s="688">
        <f>'4C2 Open-burning '!R138</f>
        <v>10.313981067569168</v>
      </c>
      <c r="H112" s="688">
        <f>'4C2 Open-burning '!Z138</f>
        <v>3.4703388628638314</v>
      </c>
      <c r="I112" s="688">
        <f>'4C2 Open-burning '!AH138</f>
        <v>4.8312974251669485E-2</v>
      </c>
      <c r="J112" s="93">
        <f>'4D Wastewater treatment and dis'!AV175</f>
        <v>216.44005186138909</v>
      </c>
      <c r="K112" s="3">
        <f>'4D Wastewater treatment and dis'!AW175</f>
        <v>3.4114707621299263</v>
      </c>
      <c r="L112" s="465">
        <f t="shared" si="111"/>
        <v>10095.492990191913</v>
      </c>
      <c r="M112" s="688">
        <f t="shared" si="112"/>
        <v>17.277965306164166</v>
      </c>
      <c r="N112" s="465">
        <f t="shared" si="113"/>
        <v>1466.1587702659308</v>
      </c>
      <c r="O112" s="464">
        <f t="shared" si="114"/>
        <v>98.168119205727166</v>
      </c>
      <c r="P112" s="465">
        <f t="shared" si="115"/>
        <v>5602.7970253494477</v>
      </c>
      <c r="Q112" s="465">
        <f t="shared" si="74"/>
        <v>10095.492990191913</v>
      </c>
      <c r="R112" s="467">
        <f t="shared" si="75"/>
        <v>1483.4367355720949</v>
      </c>
      <c r="S112" s="464">
        <f t="shared" si="76"/>
        <v>98.168119205727166</v>
      </c>
      <c r="T112" s="465">
        <f t="shared" si="77"/>
        <v>5602.7970253494477</v>
      </c>
      <c r="U112" s="465">
        <f t="shared" si="78"/>
        <v>17279.894870319185</v>
      </c>
    </row>
    <row r="113" spans="1:21">
      <c r="A113">
        <f>'Input data'!A134</f>
        <v>2034</v>
      </c>
      <c r="C113" s="116">
        <f>'4A SWD Case 2'!BG104</f>
        <v>461.86477488535826</v>
      </c>
      <c r="D113" s="3">
        <f>'4B Biological treatment '!T166</f>
        <v>0.83042267495611144</v>
      </c>
      <c r="E113" s="152">
        <f>'4B Biological treatment '!U166</f>
        <v>37.369020373025009</v>
      </c>
      <c r="F113" s="152">
        <f>'4B Biological treatment '!W166</f>
        <v>2.2421412223815005</v>
      </c>
      <c r="G113" s="688">
        <f>'4C2 Open-burning '!R139</f>
        <v>10.283755160967955</v>
      </c>
      <c r="H113" s="688">
        <f>'4C2 Open-burning '!Z139</f>
        <v>3.4601687706699158</v>
      </c>
      <c r="I113" s="688">
        <f>'4C2 Open-burning '!AH139</f>
        <v>4.8171389403123509E-2</v>
      </c>
      <c r="J113" s="93">
        <f>'4D Wastewater treatment and dis'!AV176</f>
        <v>218.28721006534801</v>
      </c>
      <c r="K113" s="3">
        <f>'4D Wastewater treatment and dis'!AW176</f>
        <v>3.4405851804256198</v>
      </c>
      <c r="L113" s="465">
        <f t="shared" si="111"/>
        <v>9699.1602725925241</v>
      </c>
      <c r="M113" s="688">
        <f t="shared" si="112"/>
        <v>17.438876174078342</v>
      </c>
      <c r="N113" s="465">
        <f t="shared" si="113"/>
        <v>1479.8132067717902</v>
      </c>
      <c r="O113" s="464">
        <f t="shared" si="114"/>
        <v>97.880430060004471</v>
      </c>
      <c r="P113" s="465">
        <f t="shared" si="115"/>
        <v>5650.6128173042498</v>
      </c>
      <c r="Q113" s="465">
        <f t="shared" si="74"/>
        <v>9699.1602725925241</v>
      </c>
      <c r="R113" s="467">
        <f t="shared" si="75"/>
        <v>1497.2520829458686</v>
      </c>
      <c r="S113" s="464">
        <f t="shared" si="76"/>
        <v>97.880430060004471</v>
      </c>
      <c r="T113" s="465">
        <f t="shared" si="77"/>
        <v>5650.6128173042498</v>
      </c>
      <c r="U113" s="465">
        <f t="shared" si="78"/>
        <v>16944.905602902647</v>
      </c>
    </row>
    <row r="114" spans="1:21">
      <c r="A114">
        <f>'Input data'!A135</f>
        <v>2035</v>
      </c>
      <c r="C114" s="116">
        <f>'4A SWD Case 2'!BG105</f>
        <v>443.92382582036652</v>
      </c>
      <c r="D114" s="3">
        <f>'4B Biological treatment '!T167</f>
        <v>0.83772940674909857</v>
      </c>
      <c r="E114" s="152">
        <f>'4B Biological treatment '!U167</f>
        <v>37.697823303709427</v>
      </c>
      <c r="F114" s="152">
        <f>'4B Biological treatment '!W167</f>
        <v>2.2618693982225659</v>
      </c>
      <c r="G114" s="688">
        <f>'4C2 Open-burning '!R140</f>
        <v>10.253959437125518</v>
      </c>
      <c r="H114" s="688">
        <f>'4C2 Open-burning '!Z140</f>
        <v>3.450143421804122</v>
      </c>
      <c r="I114" s="688">
        <f>'4C2 Open-burning '!AH140</f>
        <v>4.8031819626004571E-2</v>
      </c>
      <c r="J114" s="93">
        <f>'4D Wastewater treatment and dis'!AV177</f>
        <v>220.15013241924632</v>
      </c>
      <c r="K114" s="3">
        <f>'4D Wastewater treatment and dis'!AW177</f>
        <v>3.4699480690767106</v>
      </c>
      <c r="L114" s="465">
        <f t="shared" si="111"/>
        <v>9322.4003422276965</v>
      </c>
      <c r="M114" s="688">
        <f t="shared" si="112"/>
        <v>17.59231754173107</v>
      </c>
      <c r="N114" s="465">
        <f t="shared" si="113"/>
        <v>1492.8338028268934</v>
      </c>
      <c r="O114" s="464">
        <f t="shared" si="114"/>
        <v>97.596835379073497</v>
      </c>
      <c r="P114" s="465">
        <f t="shared" si="115"/>
        <v>5698.8366822179532</v>
      </c>
      <c r="Q114" s="465">
        <f t="shared" si="74"/>
        <v>9322.4003422276965</v>
      </c>
      <c r="R114" s="467">
        <f t="shared" si="75"/>
        <v>1510.4261203686244</v>
      </c>
      <c r="S114" s="464">
        <f t="shared" si="76"/>
        <v>97.596835379073497</v>
      </c>
      <c r="T114" s="465">
        <f t="shared" si="77"/>
        <v>5698.8366822179532</v>
      </c>
      <c r="U114" s="465">
        <f t="shared" si="78"/>
        <v>16629.259980193347</v>
      </c>
    </row>
    <row r="115" spans="1:21">
      <c r="A115">
        <f>'Input data'!A136</f>
        <v>2036</v>
      </c>
      <c r="C115" s="116">
        <f>'4A SWD Case 2'!BG106</f>
        <v>426.86947044536959</v>
      </c>
      <c r="D115" s="3">
        <f>'4B Biological treatment '!T168</f>
        <v>0.84552137689507667</v>
      </c>
      <c r="E115" s="152">
        <f>'4B Biological treatment '!U168</f>
        <v>38.048461960278445</v>
      </c>
      <c r="F115" s="152">
        <f>'4B Biological treatment '!W168</f>
        <v>2.2829077176167067</v>
      </c>
      <c r="G115" s="688">
        <f>'4C2 Open-burning '!R141</f>
        <v>10.228720631598184</v>
      </c>
      <c r="H115" s="688">
        <f>'4C2 Open-burning '!Z141</f>
        <v>3.4416513364396093</v>
      </c>
      <c r="I115" s="688">
        <f>'4C2 Open-burning '!AH141</f>
        <v>4.7913595464684461E-2</v>
      </c>
      <c r="J115" s="93">
        <f>'4D Wastewater treatment and dis'!AV178</f>
        <v>221.76188597912451</v>
      </c>
      <c r="K115" s="3">
        <f>'4D Wastewater treatment and dis'!AW178</f>
        <v>3.4953521017314642</v>
      </c>
      <c r="L115" s="465">
        <f t="shared" si="111"/>
        <v>8964.2588793527611</v>
      </c>
      <c r="M115" s="688">
        <f t="shared" si="112"/>
        <v>17.755948914796612</v>
      </c>
      <c r="N115" s="465">
        <f t="shared" si="113"/>
        <v>1506.7190936270265</v>
      </c>
      <c r="O115" s="464">
        <f t="shared" si="114"/>
        <v>97.356613290882166</v>
      </c>
      <c r="P115" s="465">
        <f t="shared" si="115"/>
        <v>5740.5587570983689</v>
      </c>
      <c r="Q115" s="465">
        <f t="shared" si="74"/>
        <v>8964.2588793527611</v>
      </c>
      <c r="R115" s="467">
        <f t="shared" si="75"/>
        <v>1524.4750425418231</v>
      </c>
      <c r="S115" s="464">
        <f t="shared" si="76"/>
        <v>97.356613290882166</v>
      </c>
      <c r="T115" s="465">
        <f t="shared" si="77"/>
        <v>5740.5587570983689</v>
      </c>
      <c r="U115" s="465">
        <f t="shared" si="78"/>
        <v>16326.649292283833</v>
      </c>
    </row>
    <row r="116" spans="1:21">
      <c r="A116">
        <f>'Input data'!A137</f>
        <v>2037</v>
      </c>
      <c r="C116" s="116">
        <f>'4A SWD Case 2'!BG107</f>
        <v>410.65655452082513</v>
      </c>
      <c r="D116" s="3">
        <f>'4B Biological treatment '!T169</f>
        <v>0.85413260579770744</v>
      </c>
      <c r="E116" s="152">
        <f>'4B Biological treatment '!U169</f>
        <v>38.435967260896831</v>
      </c>
      <c r="F116" s="152">
        <f>'4B Biological treatment '!W169</f>
        <v>2.3061580356538096</v>
      </c>
      <c r="G116" s="688">
        <f>'4C2 Open-burning '!R142</f>
        <v>10.203787853753198</v>
      </c>
      <c r="H116" s="688">
        <f>'4C2 Open-burning '!Z142</f>
        <v>3.4332622200210539</v>
      </c>
      <c r="I116" s="688">
        <f>'4C2 Open-burning '!AH142</f>
        <v>4.7796804804884324E-2</v>
      </c>
      <c r="J116" s="93">
        <f>'4D Wastewater treatment and dis'!AV179</f>
        <v>223.38543943895829</v>
      </c>
      <c r="K116" s="3">
        <f>'4D Wastewater treatment and dis'!AW179</f>
        <v>3.5209421212835057</v>
      </c>
      <c r="L116" s="465">
        <f t="shared" si="111"/>
        <v>8623.7876449373271</v>
      </c>
      <c r="M116" s="688">
        <f t="shared" si="112"/>
        <v>17.936784721751856</v>
      </c>
      <c r="N116" s="465">
        <f t="shared" si="113"/>
        <v>1522.0643035315145</v>
      </c>
      <c r="O116" s="464">
        <f t="shared" si="114"/>
        <v>97.11930396370947</v>
      </c>
      <c r="P116" s="465">
        <f t="shared" si="115"/>
        <v>5782.5862858160108</v>
      </c>
      <c r="Q116" s="465">
        <f t="shared" si="74"/>
        <v>8623.7876449373271</v>
      </c>
      <c r="R116" s="467">
        <f t="shared" si="75"/>
        <v>1540.0010882532663</v>
      </c>
      <c r="S116" s="464">
        <f t="shared" si="76"/>
        <v>97.11930396370947</v>
      </c>
      <c r="T116" s="465">
        <f t="shared" si="77"/>
        <v>5782.5862858160108</v>
      </c>
      <c r="U116" s="465">
        <f t="shared" si="78"/>
        <v>16043.494322970313</v>
      </c>
    </row>
    <row r="117" spans="1:21">
      <c r="A117">
        <f>'Input data'!A138</f>
        <v>2038</v>
      </c>
      <c r="C117" s="116">
        <f>'4A SWD Case 2'!BG108</f>
        <v>395.24407009589083</v>
      </c>
      <c r="D117" s="3">
        <f>'4B Biological treatment '!T170</f>
        <v>0.862306670355248</v>
      </c>
      <c r="E117" s="152">
        <f>'4B Biological treatment '!U170</f>
        <v>38.803800165986161</v>
      </c>
      <c r="F117" s="152">
        <f>'4B Biological treatment '!W170</f>
        <v>2.3282280099591697</v>
      </c>
      <c r="G117" s="688">
        <f>'4C2 Open-burning '!R143</f>
        <v>10.179156222495859</v>
      </c>
      <c r="H117" s="688">
        <f>'4C2 Open-burning '!Z143</f>
        <v>3.4249744302095286</v>
      </c>
      <c r="I117" s="688">
        <f>'4C2 Open-burning '!AH143</f>
        <v>4.7681424782474335E-2</v>
      </c>
      <c r="J117" s="93">
        <f>'4D Wastewater treatment and dis'!AV180</f>
        <v>225.02087918766139</v>
      </c>
      <c r="K117" s="3">
        <f>'4D Wastewater treatment and dis'!AW180</f>
        <v>3.5467194893720086</v>
      </c>
      <c r="L117" s="465">
        <f t="shared" si="111"/>
        <v>8300.1254720137076</v>
      </c>
      <c r="M117" s="688">
        <f t="shared" si="112"/>
        <v>18.108440077460209</v>
      </c>
      <c r="N117" s="465">
        <f t="shared" si="113"/>
        <v>1536.6304865730519</v>
      </c>
      <c r="O117" s="464">
        <f t="shared" si="114"/>
        <v>96.88486093946301</v>
      </c>
      <c r="P117" s="465">
        <f t="shared" si="115"/>
        <v>5824.9215046462123</v>
      </c>
      <c r="Q117" s="465">
        <f t="shared" si="74"/>
        <v>8300.1254720137076</v>
      </c>
      <c r="R117" s="467">
        <f t="shared" si="75"/>
        <v>1554.7389266505122</v>
      </c>
      <c r="S117" s="464">
        <f t="shared" si="76"/>
        <v>96.88486093946301</v>
      </c>
      <c r="T117" s="465">
        <f t="shared" si="77"/>
        <v>5824.9215046462123</v>
      </c>
      <c r="U117" s="465">
        <f t="shared" si="78"/>
        <v>15776.670764249895</v>
      </c>
    </row>
    <row r="118" spans="1:21">
      <c r="A118">
        <f>'Input data'!A139</f>
        <v>2039</v>
      </c>
      <c r="C118" s="116">
        <f>'4A SWD Case 2'!BG109</f>
        <v>380.59300656440661</v>
      </c>
      <c r="D118" s="3">
        <f>'4B Biological treatment '!T171</f>
        <v>0.87053532313980053</v>
      </c>
      <c r="E118" s="152">
        <f>'4B Biological treatment '!U171</f>
        <v>39.174089541291025</v>
      </c>
      <c r="F118" s="152">
        <f>'4B Biological treatment '!W171</f>
        <v>2.3504453724774614</v>
      </c>
      <c r="G118" s="688">
        <f>'4C2 Open-burning '!R144</f>
        <v>10.154820958102038</v>
      </c>
      <c r="H118" s="688">
        <f>'4C2 Open-burning '!Z144</f>
        <v>3.4167863587741936</v>
      </c>
      <c r="I118" s="688">
        <f>'4C2 Open-burning '!AH144</f>
        <v>4.7567433008166821E-2</v>
      </c>
      <c r="J118" s="93">
        <f>'4D Wastewater treatment and dis'!AV181</f>
        <v>226.66829224661399</v>
      </c>
      <c r="K118" s="3">
        <f>'4D Wastewater treatment and dis'!AW181</f>
        <v>3.5726855776049167</v>
      </c>
      <c r="L118" s="465">
        <f t="shared" si="111"/>
        <v>7992.4531378525389</v>
      </c>
      <c r="M118" s="688">
        <f t="shared" si="112"/>
        <v>18.281241785935812</v>
      </c>
      <c r="N118" s="465">
        <f t="shared" si="113"/>
        <v>1551.2939458351245</v>
      </c>
      <c r="O118" s="464">
        <f t="shared" si="114"/>
        <v>96.653238724891821</v>
      </c>
      <c r="P118" s="465">
        <f t="shared" si="115"/>
        <v>5867.5666662364183</v>
      </c>
      <c r="Q118" s="465">
        <f t="shared" si="74"/>
        <v>7992.4531378525389</v>
      </c>
      <c r="R118" s="467">
        <f t="shared" si="75"/>
        <v>1569.5751876210604</v>
      </c>
      <c r="S118" s="464">
        <f t="shared" si="76"/>
        <v>96.653238724891821</v>
      </c>
      <c r="T118" s="465">
        <f t="shared" si="77"/>
        <v>5867.5666662364183</v>
      </c>
      <c r="U118" s="465">
        <f t="shared" si="78"/>
        <v>15526.248230434909</v>
      </c>
    </row>
    <row r="119" spans="1:21">
      <c r="A119">
        <f>'Input data'!A140</f>
        <v>2040</v>
      </c>
      <c r="C119" s="116">
        <f>'4A SWD Case 2'!BG110</f>
        <v>366.66625346817557</v>
      </c>
      <c r="D119" s="3">
        <f>'4B Biological treatment '!T172</f>
        <v>0.87895224551568041</v>
      </c>
      <c r="E119" s="152">
        <f>'4B Biological treatment '!U172</f>
        <v>39.552851048205611</v>
      </c>
      <c r="F119" s="152">
        <f>'4B Biological treatment '!W172</f>
        <v>2.3731710628923368</v>
      </c>
      <c r="G119" s="688">
        <f>'4C2 Open-burning '!R145</f>
        <v>10.130777379596603</v>
      </c>
      <c r="H119" s="688">
        <f>'4C2 Open-burning '!Z145</f>
        <v>3.4086964307102301</v>
      </c>
      <c r="I119" s="688">
        <f>'4C2 Open-burning '!AH145</f>
        <v>4.7454807555236386E-2</v>
      </c>
      <c r="J119" s="93">
        <f>'4D Wastewater treatment and dis'!AV182</f>
        <v>228.32776627429359</v>
      </c>
      <c r="K119" s="3">
        <f>'4D Wastewater treatment and dis'!AW182</f>
        <v>3.5988417676319293</v>
      </c>
      <c r="L119" s="465">
        <f t="shared" si="111"/>
        <v>7699.9913228316873</v>
      </c>
      <c r="M119" s="688">
        <f t="shared" si="112"/>
        <v>18.45799715582929</v>
      </c>
      <c r="N119" s="465">
        <f t="shared" si="113"/>
        <v>1566.2929015089421</v>
      </c>
      <c r="O119" s="464">
        <f t="shared" si="114"/>
        <v>96.424392766634725</v>
      </c>
      <c r="P119" s="465">
        <f t="shared" si="115"/>
        <v>5910.5240397260632</v>
      </c>
      <c r="Q119" s="465">
        <f t="shared" si="74"/>
        <v>7699.9913228316873</v>
      </c>
      <c r="R119" s="467">
        <f t="shared" si="75"/>
        <v>1584.7508986647715</v>
      </c>
      <c r="S119" s="464">
        <f t="shared" si="76"/>
        <v>96.424392766634725</v>
      </c>
      <c r="T119" s="465">
        <f t="shared" si="77"/>
        <v>5910.5240397260632</v>
      </c>
      <c r="U119" s="465">
        <f t="shared" si="78"/>
        <v>15291.690653989157</v>
      </c>
    </row>
    <row r="120" spans="1:21">
      <c r="A120">
        <f>'Input data'!A141</f>
        <v>2041</v>
      </c>
      <c r="C120" s="116">
        <f>'4A SWD Case 2'!BG111</f>
        <v>353.42850802738349</v>
      </c>
      <c r="D120" s="3">
        <f>'4B Biological treatment '!T173</f>
        <v>0.88768899937790691</v>
      </c>
      <c r="E120" s="152">
        <f>'4B Biological treatment '!U173</f>
        <v>39.946004972005802</v>
      </c>
      <c r="F120" s="152">
        <f>'4B Biological treatment '!W173</f>
        <v>2.3967602983203484</v>
      </c>
      <c r="G120" s="688">
        <f>'4C2 Open-burning '!R146</f>
        <v>10.110594115867606</v>
      </c>
      <c r="H120" s="688">
        <f>'4C2 Open-burning '!Z146</f>
        <v>3.4019053803835613</v>
      </c>
      <c r="I120" s="688">
        <f>'4C2 Open-burning '!AH146</f>
        <v>4.7360264672670904E-2</v>
      </c>
      <c r="J120" s="93">
        <f>'4D Wastewater treatment and dis'!AV183</f>
        <v>229.74589393780369</v>
      </c>
      <c r="K120" s="3">
        <f>'4D Wastewater treatment and dis'!AW183</f>
        <v>3.6211939201999317</v>
      </c>
      <c r="L120" s="465">
        <f t="shared" si="111"/>
        <v>7421.9986685750537</v>
      </c>
      <c r="M120" s="688">
        <f t="shared" si="112"/>
        <v>18.641468986936044</v>
      </c>
      <c r="N120" s="465">
        <f t="shared" si="113"/>
        <v>1581.86179689143</v>
      </c>
      <c r="O120" s="464">
        <f t="shared" si="114"/>
        <v>96.232289152450377</v>
      </c>
      <c r="P120" s="465">
        <f t="shared" si="115"/>
        <v>5947.2338879558556</v>
      </c>
      <c r="Q120" s="465">
        <f t="shared" si="74"/>
        <v>7421.9986685750537</v>
      </c>
      <c r="R120" s="467">
        <f t="shared" si="75"/>
        <v>1600.5032658783659</v>
      </c>
      <c r="S120" s="464">
        <f t="shared" si="76"/>
        <v>96.232289152450377</v>
      </c>
      <c r="T120" s="465">
        <f t="shared" si="77"/>
        <v>5947.2338879558556</v>
      </c>
      <c r="U120" s="465">
        <f t="shared" si="78"/>
        <v>15065.968111561726</v>
      </c>
    </row>
    <row r="121" spans="1:21">
      <c r="A121">
        <f>'Input data'!A142</f>
        <v>2042</v>
      </c>
      <c r="C121" s="116">
        <f>'4A SWD Case 2'!BG112</f>
        <v>340.84444622986524</v>
      </c>
      <c r="D121" s="3">
        <f>'4B Biological treatment '!T174</f>
        <v>0.896089606864377</v>
      </c>
      <c r="E121" s="152">
        <f>'4B Biological treatment '!U174</f>
        <v>40.32403230889696</v>
      </c>
      <c r="F121" s="152">
        <f>'4B Biological treatment '!W174</f>
        <v>2.4194419385338177</v>
      </c>
      <c r="G121" s="688">
        <f>'4C2 Open-burning '!R147</f>
        <v>10.090614955764785</v>
      </c>
      <c r="H121" s="688">
        <f>'4C2 Open-burning '!Z147</f>
        <v>3.3951830046783922</v>
      </c>
      <c r="I121" s="688">
        <f>'4C2 Open-burning '!AH147</f>
        <v>4.7266677856746583E-2</v>
      </c>
      <c r="J121" s="93">
        <f>'4D Wastewater treatment and dis'!AV184</f>
        <v>231.17282949228024</v>
      </c>
      <c r="K121" s="3">
        <f>'4D Wastewater treatment and dis'!AW184</f>
        <v>3.6436849004121257</v>
      </c>
      <c r="L121" s="465">
        <f t="shared" si="111"/>
        <v>7157.7333708271699</v>
      </c>
      <c r="M121" s="688">
        <f t="shared" si="112"/>
        <v>18.817881744151919</v>
      </c>
      <c r="N121" s="465">
        <f t="shared" si="113"/>
        <v>1596.8316794323196</v>
      </c>
      <c r="O121" s="464">
        <f t="shared" si="114"/>
        <v>96.042128189602451</v>
      </c>
      <c r="P121" s="465">
        <f t="shared" si="115"/>
        <v>5984.171738465644</v>
      </c>
      <c r="Q121" s="465">
        <f t="shared" si="74"/>
        <v>7157.7333708271699</v>
      </c>
      <c r="R121" s="467">
        <f t="shared" si="75"/>
        <v>1615.6495611764715</v>
      </c>
      <c r="S121" s="464">
        <f t="shared" si="76"/>
        <v>96.042128189602451</v>
      </c>
      <c r="T121" s="465">
        <f t="shared" si="77"/>
        <v>5984.171738465644</v>
      </c>
      <c r="U121" s="465">
        <f t="shared" si="78"/>
        <v>14853.596798658889</v>
      </c>
    </row>
    <row r="122" spans="1:21">
      <c r="A122">
        <f>'Input data'!A143</f>
        <v>2043</v>
      </c>
      <c r="C122" s="116">
        <f>'4A SWD Case 2'!BG113</f>
        <v>328.88222166055414</v>
      </c>
      <c r="D122" s="3">
        <f>'4B Biological treatment '!T175</f>
        <v>0.90472863387573854</v>
      </c>
      <c r="E122" s="152">
        <f>'4B Biological treatment '!U175</f>
        <v>40.712788524408225</v>
      </c>
      <c r="F122" s="152">
        <f>'4B Biological treatment '!W175</f>
        <v>2.4427673114644937</v>
      </c>
      <c r="G122" s="688">
        <f>'4C2 Open-burning '!R148</f>
        <v>10.070837196069071</v>
      </c>
      <c r="H122" s="688">
        <f>'4C2 Open-burning '!Z148</f>
        <v>3.3885283940442661</v>
      </c>
      <c r="I122" s="688">
        <f>'4C2 Open-burning '!AH148</f>
        <v>4.7174034444985899E-2</v>
      </c>
      <c r="J122" s="93">
        <f>'4D Wastewater treatment and dis'!AV185</f>
        <v>232.6086276429136</v>
      </c>
      <c r="K122" s="3">
        <f>'4D Wastewater treatment and dis'!AW185</f>
        <v>3.666315570517225</v>
      </c>
      <c r="L122" s="465">
        <f t="shared" si="111"/>
        <v>6906.5266548716372</v>
      </c>
      <c r="M122" s="688">
        <f t="shared" si="112"/>
        <v>18.999301311390511</v>
      </c>
      <c r="N122" s="465">
        <f t="shared" si="113"/>
        <v>1612.2264255665659</v>
      </c>
      <c r="O122" s="464">
        <f t="shared" si="114"/>
        <v>95.853884148944275</v>
      </c>
      <c r="P122" s="465">
        <f t="shared" si="115"/>
        <v>6021.3390073615255</v>
      </c>
      <c r="Q122" s="465">
        <f t="shared" si="74"/>
        <v>6906.5266548716372</v>
      </c>
      <c r="R122" s="467">
        <f t="shared" si="75"/>
        <v>1631.2257268779565</v>
      </c>
      <c r="S122" s="464">
        <f t="shared" si="76"/>
        <v>95.853884148944275</v>
      </c>
      <c r="T122" s="465">
        <f t="shared" si="77"/>
        <v>6021.3390073615255</v>
      </c>
      <c r="U122" s="465">
        <f t="shared" si="78"/>
        <v>14654.945273260062</v>
      </c>
    </row>
    <row r="123" spans="1:21">
      <c r="A123">
        <f>'Input data'!A144</f>
        <v>2044</v>
      </c>
      <c r="C123" s="116">
        <f>'4A SWD Case 2'!BG114</f>
        <v>317.5115384851</v>
      </c>
      <c r="D123" s="3">
        <f>'4B Biological treatment '!T176</f>
        <v>0.91370738037125498</v>
      </c>
      <c r="E123" s="152">
        <f>'4B Biological treatment '!U176</f>
        <v>41.116832116706469</v>
      </c>
      <c r="F123" s="152">
        <f>'4B Biological treatment '!W176</f>
        <v>2.4670099270023877</v>
      </c>
      <c r="G123" s="688">
        <f>'4C2 Open-burning '!R149</f>
        <v>10.051258180143671</v>
      </c>
      <c r="H123" s="688">
        <f>'4C2 Open-burning '!Z149</f>
        <v>3.3819406546042359</v>
      </c>
      <c r="I123" s="688">
        <f>'4C2 Open-burning '!AH149</f>
        <v>4.7082321993113047E-2</v>
      </c>
      <c r="J123" s="93">
        <f>'4D Wastewater treatment and dis'!AV186</f>
        <v>234.0533434346637</v>
      </c>
      <c r="K123" s="3">
        <f>'4D Wastewater treatment and dis'!AW186</f>
        <v>3.6890867981193103</v>
      </c>
      <c r="L123" s="465">
        <f t="shared" si="111"/>
        <v>6667.7423081871002</v>
      </c>
      <c r="M123" s="688">
        <f t="shared" si="112"/>
        <v>19.187854987796356</v>
      </c>
      <c r="N123" s="465">
        <f t="shared" si="113"/>
        <v>1628.2265518215761</v>
      </c>
      <c r="O123" s="464">
        <f t="shared" si="114"/>
        <v>95.667531744697669</v>
      </c>
      <c r="P123" s="465">
        <f t="shared" si="115"/>
        <v>6058.7371195449232</v>
      </c>
      <c r="Q123" s="465">
        <f t="shared" si="74"/>
        <v>6667.7423081871002</v>
      </c>
      <c r="R123" s="467">
        <f t="shared" si="75"/>
        <v>1647.4144068093724</v>
      </c>
      <c r="S123" s="464">
        <f t="shared" si="76"/>
        <v>95.667531744697669</v>
      </c>
      <c r="T123" s="465">
        <f t="shared" si="77"/>
        <v>6058.7371195449232</v>
      </c>
      <c r="U123" s="465">
        <f t="shared" si="78"/>
        <v>14469.561366286092</v>
      </c>
    </row>
    <row r="124" spans="1:21">
      <c r="A124">
        <f>'Input data'!A145</f>
        <v>2045</v>
      </c>
      <c r="C124" s="116">
        <f>'4A SWD Case 2'!BG115</f>
        <v>306.70357601527076</v>
      </c>
      <c r="D124" s="3">
        <f>'4B Biological treatment '!T177</f>
        <v>0.92302914992576079</v>
      </c>
      <c r="E124" s="152">
        <f>'4B Biological treatment '!U177</f>
        <v>41.53631174665923</v>
      </c>
      <c r="F124" s="152">
        <f>'4B Biological treatment '!W177</f>
        <v>2.4921787047995538</v>
      </c>
      <c r="G124" s="688">
        <f>'4C2 Open-burning '!R150</f>
        <v>10.031875296933661</v>
      </c>
      <c r="H124" s="688">
        <f>'4C2 Open-burning '!Z150</f>
        <v>3.3754189078182595</v>
      </c>
      <c r="I124" s="688">
        <f>'4C2 Open-burning '!AH150</f>
        <v>4.699152827036783E-2</v>
      </c>
      <c r="J124" s="93">
        <f>'4D Wastewater treatment and dis'!AV187</f>
        <v>235.50703225437104</v>
      </c>
      <c r="K124" s="3">
        <f>'4D Wastewater treatment and dis'!AW187</f>
        <v>3.711999456211089</v>
      </c>
      <c r="L124" s="465">
        <f t="shared" si="111"/>
        <v>6440.7750963206854</v>
      </c>
      <c r="M124" s="688">
        <f t="shared" si="112"/>
        <v>19.383612148440978</v>
      </c>
      <c r="N124" s="465">
        <f t="shared" si="113"/>
        <v>1644.8379451677056</v>
      </c>
      <c r="O124" s="464">
        <f t="shared" si="114"/>
        <v>95.48304612493115</v>
      </c>
      <c r="P124" s="465">
        <f t="shared" si="115"/>
        <v>6096.3675087672291</v>
      </c>
      <c r="Q124" s="465">
        <f t="shared" si="74"/>
        <v>6440.7750963206854</v>
      </c>
      <c r="R124" s="467">
        <f t="shared" si="75"/>
        <v>1664.2215573161466</v>
      </c>
      <c r="S124" s="464">
        <f t="shared" si="76"/>
        <v>95.48304612493115</v>
      </c>
      <c r="T124" s="465">
        <f t="shared" si="77"/>
        <v>6096.3675087672291</v>
      </c>
      <c r="U124" s="465">
        <f t="shared" si="78"/>
        <v>14296.847208528992</v>
      </c>
    </row>
    <row r="125" spans="1:21">
      <c r="A125">
        <f>'Input data'!A146</f>
        <v>2046</v>
      </c>
      <c r="C125" s="116">
        <f>'4A SWD Case 2'!BG116</f>
        <v>296.84364058258222</v>
      </c>
      <c r="D125" s="3">
        <f>'4B Biological treatment '!T178</f>
        <v>0.93237717248149377</v>
      </c>
      <c r="E125" s="152">
        <f>'4B Biological treatment '!U178</f>
        <v>41.956972761667217</v>
      </c>
      <c r="F125" s="152">
        <f>'4B Biological treatment '!W178</f>
        <v>2.5174183657000331</v>
      </c>
      <c r="G125" s="688">
        <f>'4C2 Open-burning '!R151</f>
        <v>10.016080649685344</v>
      </c>
      <c r="H125" s="688">
        <f>'4C2 Open-burning '!Z151</f>
        <v>3.3701044925782111</v>
      </c>
      <c r="I125" s="688">
        <f>'4C2 Open-burning '!AH151</f>
        <v>4.6917542640490965E-2</v>
      </c>
      <c r="J125" s="93">
        <f>'4D Wastewater treatment and dis'!AV188</f>
        <v>236.70925796835201</v>
      </c>
      <c r="K125" s="3">
        <f>'4D Wastewater treatment and dis'!AW188</f>
        <v>3.7309486194433799</v>
      </c>
      <c r="L125" s="465">
        <f t="shared" si="111"/>
        <v>6233.7164522342264</v>
      </c>
      <c r="M125" s="688">
        <f t="shared" si="112"/>
        <v>19.57992062211137</v>
      </c>
      <c r="N125" s="465">
        <f t="shared" si="113"/>
        <v>1661.4961213620218</v>
      </c>
      <c r="O125" s="464">
        <f t="shared" si="114"/>
        <v>95.332713212379986</v>
      </c>
      <c r="P125" s="465">
        <f t="shared" si="115"/>
        <v>6127.4884893628396</v>
      </c>
      <c r="Q125" s="465">
        <f t="shared" si="74"/>
        <v>6233.7164522342264</v>
      </c>
      <c r="R125" s="467">
        <f t="shared" si="75"/>
        <v>1681.0760419841331</v>
      </c>
      <c r="S125" s="464">
        <f t="shared" si="76"/>
        <v>95.332713212379986</v>
      </c>
      <c r="T125" s="465">
        <f t="shared" si="77"/>
        <v>6127.4884893628396</v>
      </c>
      <c r="U125" s="465">
        <f t="shared" si="78"/>
        <v>14137.613696793578</v>
      </c>
    </row>
    <row r="126" spans="1:21">
      <c r="A126">
        <f>'Input data'!A147</f>
        <v>2047</v>
      </c>
      <c r="C126" s="116">
        <f>'4A SWD Case 2'!BG117</f>
        <v>288.11401872942531</v>
      </c>
      <c r="D126" s="3">
        <f>'4B Biological treatment '!T179</f>
        <v>0.93447488003222889</v>
      </c>
      <c r="E126" s="152">
        <f>'4B Biological treatment '!U179</f>
        <v>42.051369601450297</v>
      </c>
      <c r="F126" s="152">
        <f>'4B Biological treatment '!W179</f>
        <v>2.5230821760870179</v>
      </c>
      <c r="G126" s="688">
        <f>'4C2 Open-burning '!R152</f>
        <v>10.000415502259907</v>
      </c>
      <c r="H126" s="688">
        <f>'4C2 Open-burning '!Z152</f>
        <v>3.3648336500638756</v>
      </c>
      <c r="I126" s="688">
        <f>'4C2 Open-burning '!AH152</f>
        <v>4.6844163616498617E-2</v>
      </c>
      <c r="J126" s="93">
        <f>'4D Wastewater treatment and dis'!AV189</f>
        <v>237.91762085222362</v>
      </c>
      <c r="K126" s="3">
        <f>'4D Wastewater treatment and dis'!AW189</f>
        <v>3.74999451512174</v>
      </c>
      <c r="L126" s="465">
        <f t="shared" si="111"/>
        <v>6050.3943933179316</v>
      </c>
      <c r="M126" s="688">
        <f t="shared" si="112"/>
        <v>19.623972480676805</v>
      </c>
      <c r="N126" s="465">
        <f t="shared" si="113"/>
        <v>1665.2342362174318</v>
      </c>
      <c r="O126" s="464">
        <f t="shared" si="114"/>
        <v>95.183612874715863</v>
      </c>
      <c r="P126" s="465">
        <f t="shared" si="115"/>
        <v>6158.7683375844354</v>
      </c>
      <c r="Q126" s="465">
        <f t="shared" ref="Q126:Q129" si="116">L126</f>
        <v>6050.3943933179316</v>
      </c>
      <c r="R126" s="467">
        <f t="shared" ref="R126:R129" si="117">M126+N126</f>
        <v>1684.8582086981087</v>
      </c>
      <c r="S126" s="464">
        <f t="shared" ref="S126:S129" si="118">O126</f>
        <v>95.183612874715863</v>
      </c>
      <c r="T126" s="465">
        <f t="shared" ref="T126:T129" si="119">P126</f>
        <v>6158.7683375844354</v>
      </c>
      <c r="U126" s="465">
        <f t="shared" ref="U126:U129" si="120">SUM(Q126:T126)</f>
        <v>13989.204552475192</v>
      </c>
    </row>
    <row r="127" spans="1:21">
      <c r="A127">
        <f>'Input data'!A148</f>
        <v>2048</v>
      </c>
      <c r="C127" s="116">
        <f>'4A SWD Case 2'!BG118</f>
        <v>280.45934265858983</v>
      </c>
      <c r="D127" s="3">
        <f>'4B Biological treatment '!T180</f>
        <v>0.93572835650897712</v>
      </c>
      <c r="E127" s="152">
        <f>'4B Biological treatment '!U180</f>
        <v>42.107776042903964</v>
      </c>
      <c r="F127" s="152">
        <f>'4B Biological treatment '!W180</f>
        <v>2.526466562574238</v>
      </c>
      <c r="G127" s="688">
        <f>'4C2 Open-burning '!R153</f>
        <v>9.984878469104487</v>
      </c>
      <c r="H127" s="688">
        <f>'4C2 Open-burning '!Z153</f>
        <v>3.3596059140791366</v>
      </c>
      <c r="I127" s="688">
        <f>'4C2 Open-burning '!AH153</f>
        <v>4.6771384708153965E-2</v>
      </c>
      <c r="J127" s="93">
        <f>'4D Wastewater treatment and dis'!AV190</f>
        <v>239.13215223525594</v>
      </c>
      <c r="K127" s="3">
        <f>'4D Wastewater treatment and dis'!AW190</f>
        <v>3.769137637049826</v>
      </c>
      <c r="L127" s="465">
        <f t="shared" si="111"/>
        <v>5889.6461958303862</v>
      </c>
      <c r="M127" s="688">
        <f t="shared" si="112"/>
        <v>19.65029548668852</v>
      </c>
      <c r="N127" s="465">
        <f t="shared" si="113"/>
        <v>1667.467931298997</v>
      </c>
      <c r="O127" s="464">
        <f t="shared" si="114"/>
        <v>95.035731924294083</v>
      </c>
      <c r="P127" s="465">
        <f t="shared" si="115"/>
        <v>6190.2078644258199</v>
      </c>
      <c r="Q127" s="465">
        <f t="shared" si="116"/>
        <v>5889.6461958303862</v>
      </c>
      <c r="R127" s="467">
        <f t="shared" si="117"/>
        <v>1687.1182267856855</v>
      </c>
      <c r="S127" s="464">
        <f t="shared" si="118"/>
        <v>95.035731924294083</v>
      </c>
      <c r="T127" s="465">
        <f t="shared" si="119"/>
        <v>6190.2078644258199</v>
      </c>
      <c r="U127" s="465">
        <f t="shared" si="120"/>
        <v>13862.008018966186</v>
      </c>
    </row>
    <row r="128" spans="1:21">
      <c r="A128">
        <f>'Input data'!A149</f>
        <v>2049</v>
      </c>
      <c r="C128" s="116">
        <f>'4A SWD Case 2'!BG119</f>
        <v>273.82764260756721</v>
      </c>
      <c r="D128" s="3">
        <f>'4B Biological treatment '!T181</f>
        <v>0.93702565315076758</v>
      </c>
      <c r="E128" s="152">
        <f>'4B Biological treatment '!U181</f>
        <v>42.166154391784538</v>
      </c>
      <c r="F128" s="152">
        <f>'4B Biological treatment '!W181</f>
        <v>2.5299692635070721</v>
      </c>
      <c r="G128" s="688">
        <f>'4C2 Open-burning '!R154</f>
        <v>9.9694681839421868</v>
      </c>
      <c r="H128" s="688">
        <f>'4C2 Open-burning '!Z154</f>
        <v>3.3544208249136438</v>
      </c>
      <c r="I128" s="688">
        <f>'4C2 Open-burning '!AH154</f>
        <v>4.669919951551306E-2</v>
      </c>
      <c r="J128" s="93">
        <f>'4D Wastewater treatment and dis'!AV191</f>
        <v>240.35288360665007</v>
      </c>
      <c r="K128" s="3">
        <f>'4D Wastewater treatment and dis'!AW191</f>
        <v>3.7883784815520856</v>
      </c>
      <c r="L128" s="465">
        <f t="shared" si="111"/>
        <v>5750.3804947589115</v>
      </c>
      <c r="M128" s="688">
        <f t="shared" si="112"/>
        <v>19.677538716166119</v>
      </c>
      <c r="N128" s="465">
        <f t="shared" si="113"/>
        <v>1669.7797139146678</v>
      </c>
      <c r="O128" s="464">
        <f t="shared" si="114"/>
        <v>94.889057356937755</v>
      </c>
      <c r="P128" s="465">
        <f t="shared" si="115"/>
        <v>6221.8078850207985</v>
      </c>
      <c r="Q128" s="465">
        <f t="shared" si="116"/>
        <v>5750.3804947589115</v>
      </c>
      <c r="R128" s="467">
        <f t="shared" si="117"/>
        <v>1689.4572526308339</v>
      </c>
      <c r="S128" s="464">
        <f t="shared" si="118"/>
        <v>94.889057356937755</v>
      </c>
      <c r="T128" s="465">
        <f t="shared" si="119"/>
        <v>6221.8078850207985</v>
      </c>
      <c r="U128" s="465">
        <f t="shared" si="120"/>
        <v>13756.534689767483</v>
      </c>
    </row>
    <row r="129" spans="1:21">
      <c r="A129">
        <f>'Input data'!A150</f>
        <v>2050</v>
      </c>
      <c r="C129" s="116">
        <f>'4A SWD Case 2'!BG120</f>
        <v>268.17009901589267</v>
      </c>
      <c r="D129" s="3">
        <f>'4B Biological treatment '!T182</f>
        <v>0.9379745019193505</v>
      </c>
      <c r="E129" s="152">
        <f>'4B Biological treatment '!U182</f>
        <v>42.208852586370767</v>
      </c>
      <c r="F129" s="152">
        <f>'4B Biological treatment '!W182</f>
        <v>2.5325311551822463</v>
      </c>
      <c r="G129" s="688">
        <f>'4C2 Open-burning '!R155</f>
        <v>9.9541832994375596</v>
      </c>
      <c r="H129" s="688">
        <f>'4C2 Open-burning '!Z155</f>
        <v>3.3492779292302703</v>
      </c>
      <c r="I129" s="688">
        <f>'4C2 Open-burning '!AH155</f>
        <v>4.6627601727357929E-2</v>
      </c>
      <c r="J129" s="93">
        <f>'4D Wastewater treatment and dis'!AV192</f>
        <v>241.57984661635467</v>
      </c>
      <c r="K129" s="3">
        <f>'4D Wastewater treatment and dis'!AW192</f>
        <v>3.8077175474866229</v>
      </c>
      <c r="L129" s="465">
        <f t="shared" si="111"/>
        <v>5631.5720793337459</v>
      </c>
      <c r="M129" s="688">
        <f t="shared" si="112"/>
        <v>19.69746454030636</v>
      </c>
      <c r="N129" s="465">
        <f t="shared" si="113"/>
        <v>1671.4705624202825</v>
      </c>
      <c r="O129" s="464">
        <f t="shared" si="114"/>
        <v>94.743576348754203</v>
      </c>
      <c r="P129" s="465">
        <f t="shared" si="115"/>
        <v>6253.5692186643009</v>
      </c>
      <c r="Q129" s="417">
        <f t="shared" si="116"/>
        <v>5631.5720793337459</v>
      </c>
      <c r="R129" s="463">
        <f t="shared" si="117"/>
        <v>1691.1680269605888</v>
      </c>
      <c r="S129" s="460">
        <f t="shared" si="118"/>
        <v>94.743576348754203</v>
      </c>
      <c r="T129" s="417">
        <f t="shared" si="119"/>
        <v>6253.5692186643009</v>
      </c>
      <c r="U129" s="417">
        <f t="shared" si="120"/>
        <v>13671.05290130739</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0.42961291719026418</v>
      </c>
      <c r="E132" s="152">
        <f>'4B Biological treatment '!U185</f>
        <v>24.145627780809392</v>
      </c>
      <c r="F132" s="152">
        <f>'4B Biological treatment '!W185</f>
        <v>1.4487376668485634</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9.0218712609955478</v>
      </c>
      <c r="N132" s="465">
        <f t="shared" si="123"/>
        <v>956.16686012005187</v>
      </c>
      <c r="O132" s="464">
        <f t="shared" si="124"/>
        <v>307.81392004196488</v>
      </c>
      <c r="P132" s="465">
        <f t="shared" si="125"/>
        <v>3922.0560748079342</v>
      </c>
      <c r="Q132" s="465">
        <f t="shared" si="126"/>
        <v>16839.898969230198</v>
      </c>
      <c r="R132" s="467">
        <f t="shared" si="127"/>
        <v>965.18873138104743</v>
      </c>
      <c r="S132" s="464">
        <f t="shared" si="128"/>
        <v>307.81392004196488</v>
      </c>
      <c r="T132" s="465">
        <f t="shared" si="129"/>
        <v>3922.0560748079342</v>
      </c>
      <c r="U132" s="465">
        <f t="shared" si="130"/>
        <v>22034.957695461144</v>
      </c>
    </row>
    <row r="133" spans="1:21">
      <c r="A133">
        <f>'Input data'!A120</f>
        <v>2020</v>
      </c>
      <c r="C133" s="116">
        <f>'4A SWD Case 2'!BN90</f>
        <v>782.12846410827001</v>
      </c>
      <c r="D133" s="3">
        <f>'4B Biological treatment '!T186</f>
        <v>0.50215811410100653</v>
      </c>
      <c r="E133" s="152">
        <f>'4B Biological treatment '!U186</f>
        <v>26.291170481291964</v>
      </c>
      <c r="F133" s="152">
        <f>'4B Biological treatment '!W186</f>
        <v>1.5774702288775178</v>
      </c>
      <c r="G133" s="688">
        <f>'4C2 Open-burning '!R125</f>
        <v>31.469339877453482</v>
      </c>
      <c r="H133" s="688">
        <f>'4C2 Open-burning '!Z125</f>
        <v>10.588469423197822</v>
      </c>
      <c r="I133" s="688">
        <f>'4C2 Open-burning '!AH125</f>
        <v>0.14740936571980473</v>
      </c>
      <c r="J133" s="93">
        <f>'4D Wastewater treatment and dis'!AV162</f>
        <v>149.64833972612956</v>
      </c>
      <c r="K133" s="3">
        <f>'4D Wastewater treatment and dis'!AW162</f>
        <v>2.9904262793007734</v>
      </c>
      <c r="L133" s="465">
        <f t="shared" si="121"/>
        <v>16424.697746273669</v>
      </c>
      <c r="M133" s="688">
        <f t="shared" si="122"/>
        <v>10.545320396121138</v>
      </c>
      <c r="N133" s="465">
        <f t="shared" si="123"/>
        <v>1041.1303510591617</v>
      </c>
      <c r="O133" s="464">
        <f t="shared" si="124"/>
        <v>299.52410113774715</v>
      </c>
      <c r="P133" s="465">
        <f t="shared" si="125"/>
        <v>4069.6472808319609</v>
      </c>
      <c r="Q133" s="465">
        <f t="shared" si="126"/>
        <v>16424.697746273669</v>
      </c>
      <c r="R133" s="467">
        <f t="shared" si="127"/>
        <v>1051.6756714552828</v>
      </c>
      <c r="S133" s="464">
        <f t="shared" si="128"/>
        <v>299.52410113774715</v>
      </c>
      <c r="T133" s="465">
        <f t="shared" si="129"/>
        <v>4069.6472808319609</v>
      </c>
      <c r="U133" s="465">
        <f t="shared" si="130"/>
        <v>21845.544799698659</v>
      </c>
    </row>
    <row r="134" spans="1:21">
      <c r="A134">
        <f>'Input data'!A121</f>
        <v>2021</v>
      </c>
      <c r="C134" s="116">
        <f>'4A SWD Case 2'!BN91</f>
        <v>761.07358535292883</v>
      </c>
      <c r="D134" s="3">
        <f>'4B Biological treatment '!T187</f>
        <v>0.65611062967576417</v>
      </c>
      <c r="E134" s="152">
        <f>'4B Biological treatment '!U187</f>
        <v>31.857363684031053</v>
      </c>
      <c r="F134" s="152">
        <f>'4B Biological treatment '!W187</f>
        <v>1.9114418210418633</v>
      </c>
      <c r="G134" s="688">
        <f>'4C2 Open-burning '!R126</f>
        <v>28.931012243244801</v>
      </c>
      <c r="H134" s="688">
        <f>'4C2 Open-burning '!Z126</f>
        <v>9.7343998861328558</v>
      </c>
      <c r="I134" s="688">
        <f>'4C2 Open-burning '!AH126</f>
        <v>0.13551927625479393</v>
      </c>
      <c r="J134" s="93">
        <f>'4D Wastewater treatment and dis'!AV163</f>
        <v>155.42542691703585</v>
      </c>
      <c r="K134" s="3">
        <f>'4D Wastewater treatment and dis'!AW163</f>
        <v>3.0248585614028385</v>
      </c>
      <c r="L134" s="465">
        <f t="shared" si="121"/>
        <v>15982.545292411505</v>
      </c>
      <c r="M134" s="688">
        <f t="shared" si="122"/>
        <v>13.778323223191048</v>
      </c>
      <c r="N134" s="465">
        <f t="shared" si="123"/>
        <v>1261.5516018876297</v>
      </c>
      <c r="O134" s="464">
        <f t="shared" si="124"/>
        <v>275.36438549102087</v>
      </c>
      <c r="P134" s="465">
        <f t="shared" si="125"/>
        <v>4201.6401192926323</v>
      </c>
      <c r="Q134" s="465">
        <f t="shared" si="126"/>
        <v>15982.545292411505</v>
      </c>
      <c r="R134" s="467">
        <f t="shared" si="127"/>
        <v>1275.3299251108208</v>
      </c>
      <c r="S134" s="464">
        <f t="shared" si="128"/>
        <v>275.36438549102087</v>
      </c>
      <c r="T134" s="465">
        <f t="shared" si="129"/>
        <v>4201.6401192926323</v>
      </c>
      <c r="U134" s="465">
        <f t="shared" si="130"/>
        <v>21734.879722305981</v>
      </c>
    </row>
    <row r="135" spans="1:21">
      <c r="A135">
        <f>'Input data'!A122</f>
        <v>2022</v>
      </c>
      <c r="C135" s="116">
        <f>'4A SWD Case 2'!BN92</f>
        <v>735.24390033839438</v>
      </c>
      <c r="D135" s="3">
        <f>'4B Biological treatment '!T188</f>
        <v>0.76717020403859892</v>
      </c>
      <c r="E135" s="152">
        <f>'4B Biological treatment '!U188</f>
        <v>34.522659181736948</v>
      </c>
      <c r="F135" s="152">
        <f>'4B Biological treatment '!W188</f>
        <v>2.0713595509042171</v>
      </c>
      <c r="G135" s="688">
        <f>'4C2 Open-burning '!R127</f>
        <v>24.077995052126731</v>
      </c>
      <c r="H135" s="688">
        <f>'4C2 Open-burning '!Z127</f>
        <v>8.1015081782510823</v>
      </c>
      <c r="I135" s="688">
        <f>'4C2 Open-burning '!AH127</f>
        <v>0.11278666766637657</v>
      </c>
      <c r="J135" s="93">
        <f>'4D Wastewater treatment and dis'!AV164</f>
        <v>161.31571105616422</v>
      </c>
      <c r="K135" s="3">
        <f>'4D Wastewater treatment and dis'!AW164</f>
        <v>3.0596873027184164</v>
      </c>
      <c r="L135" s="465">
        <f t="shared" si="121"/>
        <v>15440.121907106282</v>
      </c>
      <c r="M135" s="688">
        <f t="shared" si="122"/>
        <v>16.110574284810578</v>
      </c>
      <c r="N135" s="465">
        <f t="shared" si="123"/>
        <v>1367.0973035967831</v>
      </c>
      <c r="O135" s="464">
        <f t="shared" si="124"/>
        <v>229.17353377197622</v>
      </c>
      <c r="P135" s="465">
        <f t="shared" si="125"/>
        <v>4336.1329960221574</v>
      </c>
      <c r="Q135" s="465">
        <f t="shared" si="126"/>
        <v>15440.121907106282</v>
      </c>
      <c r="R135" s="467">
        <f t="shared" si="127"/>
        <v>1383.2078778815937</v>
      </c>
      <c r="S135" s="464">
        <f t="shared" si="128"/>
        <v>229.17353377197622</v>
      </c>
      <c r="T135" s="465">
        <f t="shared" si="129"/>
        <v>4336.1329960221574</v>
      </c>
      <c r="U135" s="465">
        <f t="shared" si="130"/>
        <v>21388.636314782008</v>
      </c>
    </row>
    <row r="136" spans="1:21">
      <c r="A136">
        <f>'Input data'!A123</f>
        <v>2023</v>
      </c>
      <c r="C136" s="116">
        <f>'4A SWD Case 2'!BN93</f>
        <v>707.63905906790274</v>
      </c>
      <c r="D136" s="3">
        <f>'4B Biological treatment '!T189</f>
        <v>0.77056953121145377</v>
      </c>
      <c r="E136" s="152">
        <f>'4B Biological treatment '!U189</f>
        <v>34.675628904515413</v>
      </c>
      <c r="F136" s="152">
        <f>'4B Biological treatment '!W189</f>
        <v>2.080537734270925</v>
      </c>
      <c r="G136" s="688">
        <f>'4C2 Open-burning '!R128</f>
        <v>22.834713354191653</v>
      </c>
      <c r="H136" s="688">
        <f>'4C2 Open-burning '!Z128</f>
        <v>7.6831819504283345</v>
      </c>
      <c r="I136" s="688">
        <f>'4C2 Open-burning '!AH128</f>
        <v>0.10696286051893281</v>
      </c>
      <c r="J136" s="93">
        <f>'4D Wastewater treatment and dis'!AV165</f>
        <v>167.32103297774702</v>
      </c>
      <c r="K136" s="3">
        <f>'4D Wastewater treatment and dis'!AW165</f>
        <v>3.0949170681470224</v>
      </c>
      <c r="L136" s="465">
        <f t="shared" si="121"/>
        <v>14860.420240425958</v>
      </c>
      <c r="M136" s="688">
        <f t="shared" si="122"/>
        <v>16.181960155440528</v>
      </c>
      <c r="N136" s="465">
        <f t="shared" si="123"/>
        <v>1373.1549046188104</v>
      </c>
      <c r="O136" s="464">
        <f t="shared" si="124"/>
        <v>217.34002107405581</v>
      </c>
      <c r="P136" s="465">
        <f t="shared" si="125"/>
        <v>4473.1659836582639</v>
      </c>
      <c r="Q136" s="465">
        <f t="shared" si="126"/>
        <v>14860.420240425958</v>
      </c>
      <c r="R136" s="467">
        <f t="shared" si="127"/>
        <v>1389.3368647742509</v>
      </c>
      <c r="S136" s="464">
        <f t="shared" si="128"/>
        <v>217.34002107405581</v>
      </c>
      <c r="T136" s="465">
        <f t="shared" si="129"/>
        <v>4473.1659836582639</v>
      </c>
      <c r="U136" s="465">
        <f t="shared" si="130"/>
        <v>20940.26310993253</v>
      </c>
    </row>
    <row r="137" spans="1:21">
      <c r="A137">
        <f>'Input data'!A124</f>
        <v>2024</v>
      </c>
      <c r="C137" s="116">
        <f>'4A SWD Case 2'!BN94</f>
        <v>681.15886050445692</v>
      </c>
      <c r="D137" s="3">
        <f>'4B Biological treatment '!T190</f>
        <v>0.77436016318272949</v>
      </c>
      <c r="E137" s="152">
        <f>'4B Biological treatment '!U190</f>
        <v>34.846207343222822</v>
      </c>
      <c r="F137" s="152">
        <f>'4B Biological treatment '!W190</f>
        <v>2.0907724405933692</v>
      </c>
      <c r="G137" s="688">
        <f>'4C2 Open-burning '!R129</f>
        <v>21.570135720604139</v>
      </c>
      <c r="H137" s="688">
        <f>'4C2 Open-burning '!Z129</f>
        <v>7.2576902922415494</v>
      </c>
      <c r="I137" s="688">
        <f>'4C2 Open-burning '!AH129</f>
        <v>0.10103929848692009</v>
      </c>
      <c r="J137" s="93">
        <f>'4D Wastewater treatment and dis'!AV166</f>
        <v>173.44326090016418</v>
      </c>
      <c r="K137" s="3">
        <f>'4D Wastewater treatment and dis'!AW166</f>
        <v>3.1305524751492158</v>
      </c>
      <c r="L137" s="465">
        <f t="shared" si="121"/>
        <v>14304.336070593596</v>
      </c>
      <c r="M137" s="688">
        <f t="shared" si="122"/>
        <v>16.26156342683732</v>
      </c>
      <c r="N137" s="465">
        <f t="shared" si="123"/>
        <v>1379.9098107916238</v>
      </c>
      <c r="O137" s="464">
        <f t="shared" si="124"/>
        <v>205.3038143886219</v>
      </c>
      <c r="P137" s="465">
        <f t="shared" si="125"/>
        <v>4612.7797461997052</v>
      </c>
      <c r="Q137" s="465">
        <f t="shared" si="126"/>
        <v>14304.336070593596</v>
      </c>
      <c r="R137" s="467">
        <f t="shared" si="127"/>
        <v>1396.1713742184611</v>
      </c>
      <c r="S137" s="464">
        <f t="shared" si="128"/>
        <v>205.3038143886219</v>
      </c>
      <c r="T137" s="465">
        <f t="shared" si="129"/>
        <v>4612.7797461997052</v>
      </c>
      <c r="U137" s="465">
        <f t="shared" si="130"/>
        <v>20518.591005400383</v>
      </c>
    </row>
    <row r="138" spans="1:21">
      <c r="A138">
        <f>'Input data'!A125</f>
        <v>2025</v>
      </c>
      <c r="C138" s="116">
        <f>'4A SWD Case 2'!BN95</f>
        <v>655.72238027142259</v>
      </c>
      <c r="D138" s="3">
        <f>'4B Biological treatment '!T191</f>
        <v>0.77865910027545859</v>
      </c>
      <c r="E138" s="152">
        <f>'4B Biological treatment '!U191</f>
        <v>35.03965951239563</v>
      </c>
      <c r="F138" s="152">
        <f>'4B Biological treatment '!W191</f>
        <v>2.102379570743738</v>
      </c>
      <c r="G138" s="688">
        <f>'4C2 Open-burning '!R130</f>
        <v>20.283486456074918</v>
      </c>
      <c r="H138" s="688">
        <f>'4C2 Open-burning '!Z130</f>
        <v>6.8247722059740834</v>
      </c>
      <c r="I138" s="688">
        <f>'4C2 Open-burning '!AH130</f>
        <v>9.5012348041607686E-2</v>
      </c>
      <c r="J138" s="93">
        <f>'4D Wastewater treatment and dis'!AV167</f>
        <v>179.68429081250378</v>
      </c>
      <c r="K138" s="3">
        <f>'4D Wastewater treatment and dis'!AW167</f>
        <v>3.166598194351784</v>
      </c>
      <c r="L138" s="465">
        <f t="shared" si="121"/>
        <v>13770.169985699875</v>
      </c>
      <c r="M138" s="688">
        <f t="shared" si="122"/>
        <v>16.351841105784629</v>
      </c>
      <c r="N138" s="465">
        <f t="shared" si="123"/>
        <v>1387.570516690867</v>
      </c>
      <c r="O138" s="464">
        <f t="shared" si="124"/>
        <v>193.05753067442905</v>
      </c>
      <c r="P138" s="465">
        <f t="shared" si="125"/>
        <v>4755.015547311632</v>
      </c>
      <c r="Q138" s="465">
        <f t="shared" si="126"/>
        <v>13770.169985699875</v>
      </c>
      <c r="R138" s="467">
        <f t="shared" si="127"/>
        <v>1403.9223577966516</v>
      </c>
      <c r="S138" s="464">
        <f t="shared" si="128"/>
        <v>193.05753067442905</v>
      </c>
      <c r="T138" s="465">
        <f t="shared" si="129"/>
        <v>4755.015547311632</v>
      </c>
      <c r="U138" s="465">
        <f t="shared" si="130"/>
        <v>20122.165421482587</v>
      </c>
    </row>
    <row r="139" spans="1:21">
      <c r="A139">
        <f>'Input data'!A126</f>
        <v>2026</v>
      </c>
      <c r="C139" s="116">
        <f>'4A SWD Case 2'!BN96</f>
        <v>631.25216676207037</v>
      </c>
      <c r="D139" s="3">
        <f>'4B Biological treatment '!T192</f>
        <v>0.78318598842425535</v>
      </c>
      <c r="E139" s="152">
        <f>'4B Biological treatment '!U192</f>
        <v>35.243369479091484</v>
      </c>
      <c r="F139" s="152">
        <f>'4B Biological treatment '!W192</f>
        <v>2.1146021687454892</v>
      </c>
      <c r="G139" s="688">
        <f>'4C2 Open-burning '!R131</f>
        <v>18.985188117273655</v>
      </c>
      <c r="H139" s="688">
        <f>'4C2 Open-burning '!Z131</f>
        <v>6.3879345628548228</v>
      </c>
      <c r="I139" s="688">
        <f>'4C2 Open-burning '!AH131</f>
        <v>8.8930830749442052E-2</v>
      </c>
      <c r="J139" s="93">
        <f>'4D Wastewater treatment and dis'!AV168</f>
        <v>185.73930530907452</v>
      </c>
      <c r="K139" s="3">
        <f>'4D Wastewater treatment and dis'!AW168</f>
        <v>3.1977779387807019</v>
      </c>
      <c r="L139" s="465">
        <f t="shared" si="121"/>
        <v>13256.295502003479</v>
      </c>
      <c r="M139" s="688">
        <f t="shared" si="122"/>
        <v>16.446905756909363</v>
      </c>
      <c r="N139" s="465">
        <f t="shared" si="123"/>
        <v>1395.6374313720228</v>
      </c>
      <c r="O139" s="464">
        <f t="shared" si="124"/>
        <v>180.70037146955198</v>
      </c>
      <c r="P139" s="465">
        <f t="shared" si="125"/>
        <v>4891.8365725125823</v>
      </c>
      <c r="Q139" s="465">
        <f t="shared" si="126"/>
        <v>13256.295502003479</v>
      </c>
      <c r="R139" s="467">
        <f t="shared" si="127"/>
        <v>1412.0843371289322</v>
      </c>
      <c r="S139" s="464">
        <f t="shared" si="128"/>
        <v>180.70037146955198</v>
      </c>
      <c r="T139" s="465">
        <f t="shared" si="129"/>
        <v>4891.8365725125823</v>
      </c>
      <c r="U139" s="465">
        <f t="shared" si="130"/>
        <v>19740.916783114546</v>
      </c>
    </row>
    <row r="140" spans="1:21">
      <c r="A140">
        <f>'Input data'!A127</f>
        <v>2027</v>
      </c>
      <c r="C140" s="116">
        <f>'4A SWD Case 2'!BN97</f>
        <v>607.67026334333707</v>
      </c>
      <c r="D140" s="3">
        <f>'4B Biological treatment '!T193</f>
        <v>0.78809036041822733</v>
      </c>
      <c r="E140" s="152">
        <f>'4B Biological treatment '!U193</f>
        <v>35.464066218820221</v>
      </c>
      <c r="F140" s="152">
        <f>'4B Biological treatment '!W193</f>
        <v>2.1278439731292136</v>
      </c>
      <c r="G140" s="688">
        <f>'4C2 Open-burning '!R132</f>
        <v>17.661577035208047</v>
      </c>
      <c r="H140" s="688">
        <f>'4C2 Open-burning '!Z132</f>
        <v>5.9425799565861794</v>
      </c>
      <c r="I140" s="688">
        <f>'4C2 Open-burning '!AH132</f>
        <v>8.2730742955201886E-2</v>
      </c>
      <c r="J140" s="93">
        <f>'4D Wastewater treatment and dis'!AV169</f>
        <v>191.89613972825521</v>
      </c>
      <c r="K140" s="3">
        <f>'4D Wastewater treatment and dis'!AW169</f>
        <v>3.2292646929415123</v>
      </c>
      <c r="L140" s="465">
        <f t="shared" si="121"/>
        <v>12761.075530210079</v>
      </c>
      <c r="M140" s="688">
        <f t="shared" si="122"/>
        <v>16.549897568782775</v>
      </c>
      <c r="N140" s="465">
        <f t="shared" si="123"/>
        <v>1404.3770222652809</v>
      </c>
      <c r="O140" s="464">
        <f t="shared" si="124"/>
        <v>168.10228643963038</v>
      </c>
      <c r="P140" s="465">
        <f t="shared" si="125"/>
        <v>5030.8909891052281</v>
      </c>
      <c r="Q140" s="465">
        <f t="shared" si="126"/>
        <v>12761.075530210079</v>
      </c>
      <c r="R140" s="467">
        <f t="shared" si="127"/>
        <v>1420.9269198340637</v>
      </c>
      <c r="S140" s="464">
        <f t="shared" si="128"/>
        <v>168.10228643963038</v>
      </c>
      <c r="T140" s="465">
        <f t="shared" si="129"/>
        <v>5030.8909891052281</v>
      </c>
      <c r="U140" s="465">
        <f t="shared" si="130"/>
        <v>19380.995725589004</v>
      </c>
    </row>
    <row r="141" spans="1:21">
      <c r="A141">
        <f>'Input data'!A128</f>
        <v>2028</v>
      </c>
      <c r="C141" s="116">
        <f>'4A SWD Case 2'!BN98</f>
        <v>584.9061220143484</v>
      </c>
      <c r="D141" s="3">
        <f>'4B Biological treatment '!T194</f>
        <v>0.79295280419613556</v>
      </c>
      <c r="E141" s="152">
        <f>'4B Biological treatment '!U194</f>
        <v>35.6828761888261</v>
      </c>
      <c r="F141" s="152">
        <f>'4B Biological treatment '!W194</f>
        <v>2.1409725713295655</v>
      </c>
      <c r="G141" s="688">
        <f>'4C2 Open-burning '!R133</f>
        <v>16.311739327952857</v>
      </c>
      <c r="H141" s="688">
        <f>'4C2 Open-burning '!Z133</f>
        <v>5.48840089387914</v>
      </c>
      <c r="I141" s="688">
        <f>'4C2 Open-burning '!AH133</f>
        <v>7.6407803833313151E-2</v>
      </c>
      <c r="J141" s="93">
        <f>'4D Wastewater treatment and dis'!AV170</f>
        <v>198.15621215016739</v>
      </c>
      <c r="K141" s="3">
        <f>'4D Wastewater treatment and dis'!AW170</f>
        <v>3.2610614797895683</v>
      </c>
      <c r="L141" s="465">
        <f t="shared" si="121"/>
        <v>12283.028562301317</v>
      </c>
      <c r="M141" s="688">
        <f t="shared" si="122"/>
        <v>16.652008888118846</v>
      </c>
      <c r="N141" s="465">
        <f t="shared" si="123"/>
        <v>1413.0418970775133</v>
      </c>
      <c r="O141" s="464">
        <f t="shared" si="124"/>
        <v>155.25457728774188</v>
      </c>
      <c r="P141" s="465">
        <f t="shared" si="125"/>
        <v>5172.2095138882814</v>
      </c>
      <c r="Q141" s="465">
        <f t="shared" si="126"/>
        <v>12283.028562301317</v>
      </c>
      <c r="R141" s="467">
        <f t="shared" si="127"/>
        <v>1429.6939059656322</v>
      </c>
      <c r="S141" s="464">
        <f t="shared" si="128"/>
        <v>155.25457728774188</v>
      </c>
      <c r="T141" s="465">
        <f t="shared" si="129"/>
        <v>5172.2095138882814</v>
      </c>
      <c r="U141" s="465">
        <f t="shared" si="130"/>
        <v>19040.186559442973</v>
      </c>
    </row>
    <row r="142" spans="1:21">
      <c r="A142">
        <f>'Input data'!A129</f>
        <v>2029</v>
      </c>
      <c r="C142" s="116">
        <f>'4A SWD Case 2'!BN99</f>
        <v>562.89213295833292</v>
      </c>
      <c r="D142" s="3">
        <f>'4B Biological treatment '!T195</f>
        <v>0.79817953328759317</v>
      </c>
      <c r="E142" s="152">
        <f>'4B Biological treatment '!U195</f>
        <v>35.918078997941691</v>
      </c>
      <c r="F142" s="152">
        <f>'4B Biological treatment '!W195</f>
        <v>2.1550847398765014</v>
      </c>
      <c r="G142" s="688">
        <f>'4C2 Open-burning '!R134</f>
        <v>14.93472003386634</v>
      </c>
      <c r="H142" s="688">
        <f>'4C2 Open-burning '!Z134</f>
        <v>5.0250760593777697</v>
      </c>
      <c r="I142" s="688">
        <f>'4C2 Open-burning '!AH134</f>
        <v>6.9957540131701232E-2</v>
      </c>
      <c r="J142" s="93">
        <f>'4D Wastewater treatment and dis'!AV171</f>
        <v>204.52095870933701</v>
      </c>
      <c r="K142" s="3">
        <f>'4D Wastewater treatment and dis'!AW171</f>
        <v>3.2931713520456056</v>
      </c>
      <c r="L142" s="465">
        <f t="shared" si="121"/>
        <v>11820.734792124991</v>
      </c>
      <c r="M142" s="688">
        <f t="shared" si="122"/>
        <v>16.761770199039457</v>
      </c>
      <c r="N142" s="465">
        <f t="shared" si="123"/>
        <v>1422.3559283184909</v>
      </c>
      <c r="O142" s="464">
        <f t="shared" si="124"/>
        <v>142.1481547216269</v>
      </c>
      <c r="P142" s="465">
        <f t="shared" si="125"/>
        <v>5315.8232520302154</v>
      </c>
      <c r="Q142" s="465">
        <f t="shared" si="126"/>
        <v>11820.734792124991</v>
      </c>
      <c r="R142" s="467">
        <f t="shared" si="127"/>
        <v>1439.1176985175302</v>
      </c>
      <c r="S142" s="464">
        <f t="shared" si="128"/>
        <v>142.1481547216269</v>
      </c>
      <c r="T142" s="465">
        <f t="shared" si="129"/>
        <v>5315.8232520302154</v>
      </c>
      <c r="U142" s="465">
        <f t="shared" si="130"/>
        <v>18717.823897394363</v>
      </c>
    </row>
    <row r="143" spans="1:21">
      <c r="A143">
        <f>'Input data'!A130</f>
        <v>2030</v>
      </c>
      <c r="C143" s="116">
        <f>'4A SWD Case 2'!BN100</f>
        <v>541.56346267223944</v>
      </c>
      <c r="D143" s="3">
        <f>'4B Biological treatment '!T196</f>
        <v>0.80340648876551801</v>
      </c>
      <c r="E143" s="152">
        <f>'4B Biological treatment '!U196</f>
        <v>36.15329199444831</v>
      </c>
      <c r="F143" s="152">
        <f>'4B Biological treatment '!W196</f>
        <v>2.1691975196668984</v>
      </c>
      <c r="G143" s="688">
        <f>'4C2 Open-burning '!R135</f>
        <v>13.529520713203713</v>
      </c>
      <c r="H143" s="688">
        <f>'4C2 Open-burning '!Z135</f>
        <v>4.5522695086755505</v>
      </c>
      <c r="I143" s="688">
        <f>'4C2 Open-burning '!AH135</f>
        <v>6.3375274937216314E-2</v>
      </c>
      <c r="J143" s="93">
        <f>'4D Wastewater treatment and dis'!AV172</f>
        <v>210.99183381275145</v>
      </c>
      <c r="K143" s="3">
        <f>'4D Wastewater treatment and dis'!AW172</f>
        <v>3.3255973924888065</v>
      </c>
      <c r="L143" s="465">
        <f t="shared" si="121"/>
        <v>11372.832716117027</v>
      </c>
      <c r="M143" s="688">
        <f t="shared" si="122"/>
        <v>16.871536264075878</v>
      </c>
      <c r="N143" s="465">
        <f t="shared" si="123"/>
        <v>1431.6703629801532</v>
      </c>
      <c r="O143" s="464">
        <f t="shared" si="124"/>
        <v>128.77351562592733</v>
      </c>
      <c r="P143" s="465">
        <f t="shared" si="125"/>
        <v>5461.7637017393099</v>
      </c>
      <c r="Q143" s="465">
        <f t="shared" si="126"/>
        <v>11372.832716117027</v>
      </c>
      <c r="R143" s="467">
        <f t="shared" si="127"/>
        <v>1448.5418992442292</v>
      </c>
      <c r="S143" s="464">
        <f t="shared" si="128"/>
        <v>128.77351562592733</v>
      </c>
      <c r="T143" s="465">
        <f t="shared" si="129"/>
        <v>5461.7637017393099</v>
      </c>
      <c r="U143" s="465">
        <f t="shared" si="130"/>
        <v>18411.911832726495</v>
      </c>
    </row>
    <row r="144" spans="1:21">
      <c r="A144">
        <f>'Input data'!A131</f>
        <v>2031</v>
      </c>
      <c r="C144" s="116">
        <f>'4A SWD Case 2'!BN101</f>
        <v>520.85789880624964</v>
      </c>
      <c r="D144" s="3">
        <f>'4B Biological treatment '!T197</f>
        <v>0.80952223164445369</v>
      </c>
      <c r="E144" s="152">
        <f>'4B Biological treatment '!U197</f>
        <v>36.428500424000418</v>
      </c>
      <c r="F144" s="152">
        <f>'4B Biological treatment '!W197</f>
        <v>2.185710025440025</v>
      </c>
      <c r="G144" s="688">
        <f>'4C2 Open-burning '!R136</f>
        <v>11.932120220532866</v>
      </c>
      <c r="H144" s="688">
        <f>'4C2 Open-burning '!Z136</f>
        <v>4.014793147903057</v>
      </c>
      <c r="I144" s="688">
        <f>'4C2 Open-burning '!AH136</f>
        <v>5.5892696836052552E-2</v>
      </c>
      <c r="J144" s="93">
        <f>'4D Wastewater treatment and dis'!AV173</f>
        <v>212.79249544373798</v>
      </c>
      <c r="K144" s="3">
        <f>'4D Wastewater treatment and dis'!AW173</f>
        <v>3.3539789441183268</v>
      </c>
      <c r="L144" s="465">
        <f t="shared" si="121"/>
        <v>10938.015874931243</v>
      </c>
      <c r="M144" s="688">
        <f t="shared" si="122"/>
        <v>16.999966864533526</v>
      </c>
      <c r="N144" s="465">
        <f t="shared" si="123"/>
        <v>1442.5686167904164</v>
      </c>
      <c r="O144" s="464">
        <f t="shared" si="124"/>
        <v>113.56951234567336</v>
      </c>
      <c r="P144" s="465">
        <f t="shared" si="125"/>
        <v>5508.3758769951792</v>
      </c>
      <c r="Q144" s="465">
        <f t="shared" si="126"/>
        <v>10938.015874931243</v>
      </c>
      <c r="R144" s="467">
        <f t="shared" si="127"/>
        <v>1459.5685836549499</v>
      </c>
      <c r="S144" s="464">
        <f t="shared" si="128"/>
        <v>113.56951234567336</v>
      </c>
      <c r="T144" s="465">
        <f t="shared" si="129"/>
        <v>5508.3758769951792</v>
      </c>
      <c r="U144" s="465">
        <f t="shared" si="130"/>
        <v>18019.529847927046</v>
      </c>
    </row>
    <row r="145" spans="1:21">
      <c r="A145">
        <f>'Input data'!A132</f>
        <v>2032</v>
      </c>
      <c r="C145" s="116">
        <f>'4A SWD Case 2'!BN102</f>
        <v>500.59055711760493</v>
      </c>
      <c r="D145" s="3">
        <f>'4B Biological treatment '!T198</f>
        <v>0.81598194397364199</v>
      </c>
      <c r="E145" s="152">
        <f>'4B Biological treatment '!U198</f>
        <v>36.719187478813879</v>
      </c>
      <c r="F145" s="152">
        <f>'4B Biological treatment '!W198</f>
        <v>2.2031512487288332</v>
      </c>
      <c r="G145" s="688">
        <f>'4C2 Open-burning '!R137</f>
        <v>10.344645425665796</v>
      </c>
      <c r="H145" s="688">
        <f>'4C2 Open-burning '!Z137</f>
        <v>3.4806564805625984</v>
      </c>
      <c r="I145" s="688">
        <f>'4C2 Open-burning '!AH137</f>
        <v>4.8456612904238333E-2</v>
      </c>
      <c r="J145" s="93">
        <f>'4D Wastewater treatment and dis'!AV174</f>
        <v>214.60852441027842</v>
      </c>
      <c r="K145" s="3">
        <f>'4D Wastewater treatment and dis'!AW174</f>
        <v>3.3826027116200144</v>
      </c>
      <c r="L145" s="465">
        <f t="shared" si="121"/>
        <v>10512.401699469703</v>
      </c>
      <c r="M145" s="688">
        <f t="shared" si="122"/>
        <v>17.13562082344648</v>
      </c>
      <c r="N145" s="465">
        <f t="shared" si="123"/>
        <v>1454.0798241610298</v>
      </c>
      <c r="O145" s="464">
        <f t="shared" si="124"/>
        <v>98.459981517794233</v>
      </c>
      <c r="P145" s="465">
        <f t="shared" si="125"/>
        <v>5555.3858532180511</v>
      </c>
      <c r="Q145" s="465">
        <f t="shared" si="126"/>
        <v>10512.401699469703</v>
      </c>
      <c r="R145" s="467">
        <f t="shared" si="127"/>
        <v>1471.2154449844763</v>
      </c>
      <c r="S145" s="464">
        <f t="shared" si="128"/>
        <v>98.459981517794233</v>
      </c>
      <c r="T145" s="465">
        <f t="shared" si="129"/>
        <v>5555.3858532180511</v>
      </c>
      <c r="U145" s="465">
        <f t="shared" si="130"/>
        <v>17637.462979190022</v>
      </c>
    </row>
    <row r="146" spans="1:21">
      <c r="A146">
        <f>'Input data'!A133</f>
        <v>2033</v>
      </c>
      <c r="C146" s="116">
        <f>'4A SWD Case 2'!BN103</f>
        <v>480.73776143771016</v>
      </c>
      <c r="D146" s="3">
        <f>'4B Biological treatment '!T199</f>
        <v>0.82276025267448416</v>
      </c>
      <c r="E146" s="152">
        <f>'4B Biological treatment '!U199</f>
        <v>37.024211370351786</v>
      </c>
      <c r="F146" s="152">
        <f>'4B Biological treatment '!W199</f>
        <v>2.2214526822211074</v>
      </c>
      <c r="G146" s="688">
        <f>'4C2 Open-burning '!R138</f>
        <v>10.313981067569168</v>
      </c>
      <c r="H146" s="688">
        <f>'4C2 Open-burning '!Z138</f>
        <v>3.4703388628638314</v>
      </c>
      <c r="I146" s="688">
        <f>'4C2 Open-burning '!AH138</f>
        <v>4.8312974251669485E-2</v>
      </c>
      <c r="J146" s="93">
        <f>'4D Wastewater treatment and dis'!AV175</f>
        <v>216.44005186138909</v>
      </c>
      <c r="K146" s="3">
        <f>'4D Wastewater treatment and dis'!AW175</f>
        <v>3.4114707621299263</v>
      </c>
      <c r="L146" s="465">
        <f t="shared" si="121"/>
        <v>10095.492990191913</v>
      </c>
      <c r="M146" s="688">
        <f t="shared" si="122"/>
        <v>17.277965306164166</v>
      </c>
      <c r="N146" s="465">
        <f t="shared" si="123"/>
        <v>1466.1587702659308</v>
      </c>
      <c r="O146" s="464">
        <f t="shared" si="124"/>
        <v>98.168119205727166</v>
      </c>
      <c r="P146" s="465">
        <f t="shared" si="125"/>
        <v>5602.7970253494477</v>
      </c>
      <c r="Q146" s="465">
        <f t="shared" si="126"/>
        <v>10095.492990191913</v>
      </c>
      <c r="R146" s="467">
        <f t="shared" si="127"/>
        <v>1483.4367355720949</v>
      </c>
      <c r="S146" s="464">
        <f t="shared" si="128"/>
        <v>98.168119205727166</v>
      </c>
      <c r="T146" s="465">
        <f t="shared" si="129"/>
        <v>5602.7970253494477</v>
      </c>
      <c r="U146" s="465">
        <f t="shared" si="130"/>
        <v>17279.894870319185</v>
      </c>
    </row>
    <row r="147" spans="1:21">
      <c r="A147">
        <f>'Input data'!A134</f>
        <v>2034</v>
      </c>
      <c r="C147" s="116">
        <f>'4A SWD Case 2'!BN104</f>
        <v>461.86477488535826</v>
      </c>
      <c r="D147" s="3">
        <f>'4B Biological treatment '!T200</f>
        <v>0.83042267495611144</v>
      </c>
      <c r="E147" s="152">
        <f>'4B Biological treatment '!U200</f>
        <v>37.369020373025009</v>
      </c>
      <c r="F147" s="152">
        <f>'4B Biological treatment '!W200</f>
        <v>2.2421412223815005</v>
      </c>
      <c r="G147" s="688">
        <f>'4C2 Open-burning '!R139</f>
        <v>10.283755160967955</v>
      </c>
      <c r="H147" s="688">
        <f>'4C2 Open-burning '!Z139</f>
        <v>3.4601687706699158</v>
      </c>
      <c r="I147" s="688">
        <f>'4C2 Open-burning '!AH139</f>
        <v>4.8171389403123509E-2</v>
      </c>
      <c r="J147" s="93">
        <f>'4D Wastewater treatment and dis'!AV176</f>
        <v>218.28721006534801</v>
      </c>
      <c r="K147" s="3">
        <f>'4D Wastewater treatment and dis'!AW176</f>
        <v>3.4405851804256198</v>
      </c>
      <c r="L147" s="465">
        <f t="shared" si="121"/>
        <v>9699.1602725925241</v>
      </c>
      <c r="M147" s="688">
        <f t="shared" si="122"/>
        <v>17.438876174078342</v>
      </c>
      <c r="N147" s="465">
        <f t="shared" si="123"/>
        <v>1479.8132067717902</v>
      </c>
      <c r="O147" s="464">
        <f t="shared" si="124"/>
        <v>97.880430060004471</v>
      </c>
      <c r="P147" s="465">
        <f t="shared" si="125"/>
        <v>5650.6128173042498</v>
      </c>
      <c r="Q147" s="465">
        <f t="shared" si="126"/>
        <v>9699.1602725925241</v>
      </c>
      <c r="R147" s="467">
        <f t="shared" si="127"/>
        <v>1497.2520829458686</v>
      </c>
      <c r="S147" s="464">
        <f t="shared" si="128"/>
        <v>97.880430060004471</v>
      </c>
      <c r="T147" s="465">
        <f t="shared" si="129"/>
        <v>5650.6128173042498</v>
      </c>
      <c r="U147" s="465">
        <f t="shared" si="130"/>
        <v>16944.905602902647</v>
      </c>
    </row>
    <row r="148" spans="1:21">
      <c r="A148">
        <f>'Input data'!A135</f>
        <v>2035</v>
      </c>
      <c r="C148" s="116">
        <f>'4A SWD Case 2'!BN105</f>
        <v>443.92382582036652</v>
      </c>
      <c r="D148" s="3">
        <f>'4B Biological treatment '!T201</f>
        <v>0.83772940674909857</v>
      </c>
      <c r="E148" s="152">
        <f>'4B Biological treatment '!U201</f>
        <v>37.697823303709427</v>
      </c>
      <c r="F148" s="152">
        <f>'4B Biological treatment '!W201</f>
        <v>2.2618693982225659</v>
      </c>
      <c r="G148" s="688">
        <f>'4C2 Open-burning '!R140</f>
        <v>10.253959437125518</v>
      </c>
      <c r="H148" s="688">
        <f>'4C2 Open-burning '!Z140</f>
        <v>3.450143421804122</v>
      </c>
      <c r="I148" s="688">
        <f>'4C2 Open-burning '!AH140</f>
        <v>4.8031819626004571E-2</v>
      </c>
      <c r="J148" s="93">
        <f>'4D Wastewater treatment and dis'!AV177</f>
        <v>220.15013241924632</v>
      </c>
      <c r="K148" s="3">
        <f>'4D Wastewater treatment and dis'!AW177</f>
        <v>3.4699480690767106</v>
      </c>
      <c r="L148" s="465">
        <f t="shared" si="121"/>
        <v>9322.4003422276965</v>
      </c>
      <c r="M148" s="688">
        <f t="shared" si="122"/>
        <v>17.59231754173107</v>
      </c>
      <c r="N148" s="465">
        <f t="shared" si="123"/>
        <v>1492.8338028268934</v>
      </c>
      <c r="O148" s="464">
        <f t="shared" si="124"/>
        <v>97.596835379073497</v>
      </c>
      <c r="P148" s="465">
        <f t="shared" si="125"/>
        <v>5698.8366822179532</v>
      </c>
      <c r="Q148" s="465">
        <f t="shared" si="126"/>
        <v>9322.4003422276965</v>
      </c>
      <c r="R148" s="467">
        <f t="shared" si="127"/>
        <v>1510.4261203686244</v>
      </c>
      <c r="S148" s="464">
        <f t="shared" si="128"/>
        <v>97.596835379073497</v>
      </c>
      <c r="T148" s="465">
        <f t="shared" si="129"/>
        <v>5698.8366822179532</v>
      </c>
      <c r="U148" s="465">
        <f t="shared" si="130"/>
        <v>16629.259980193347</v>
      </c>
    </row>
    <row r="149" spans="1:21">
      <c r="A149">
        <f>'Input data'!A136</f>
        <v>2036</v>
      </c>
      <c r="C149" s="116">
        <f>'4A SWD Case 2'!BN106</f>
        <v>426.86947044536959</v>
      </c>
      <c r="D149" s="3">
        <f>'4B Biological treatment '!T202</f>
        <v>0.84552137689507667</v>
      </c>
      <c r="E149" s="152">
        <f>'4B Biological treatment '!U202</f>
        <v>38.048461960278445</v>
      </c>
      <c r="F149" s="152">
        <f>'4B Biological treatment '!W202</f>
        <v>2.2829077176167067</v>
      </c>
      <c r="G149" s="688">
        <f>'4C2 Open-burning '!R141</f>
        <v>10.228720631598184</v>
      </c>
      <c r="H149" s="688">
        <f>'4C2 Open-burning '!Z141</f>
        <v>3.4416513364396093</v>
      </c>
      <c r="I149" s="688">
        <f>'4C2 Open-burning '!AH141</f>
        <v>4.7913595464684461E-2</v>
      </c>
      <c r="J149" s="93">
        <f>'4D Wastewater treatment and dis'!AV178</f>
        <v>221.76188597912451</v>
      </c>
      <c r="K149" s="3">
        <f>'4D Wastewater treatment and dis'!AW178</f>
        <v>3.4953521017314642</v>
      </c>
      <c r="L149" s="465">
        <f t="shared" si="121"/>
        <v>8964.2588793527611</v>
      </c>
      <c r="M149" s="688">
        <f t="shared" si="122"/>
        <v>17.755948914796612</v>
      </c>
      <c r="N149" s="465">
        <f t="shared" si="123"/>
        <v>1506.7190936270265</v>
      </c>
      <c r="O149" s="464">
        <f t="shared" si="124"/>
        <v>97.356613290882166</v>
      </c>
      <c r="P149" s="465">
        <f t="shared" si="125"/>
        <v>5740.5587570983689</v>
      </c>
      <c r="Q149" s="465">
        <f t="shared" si="126"/>
        <v>8964.2588793527611</v>
      </c>
      <c r="R149" s="467">
        <f t="shared" si="127"/>
        <v>1524.4750425418231</v>
      </c>
      <c r="S149" s="464">
        <f t="shared" si="128"/>
        <v>97.356613290882166</v>
      </c>
      <c r="T149" s="465">
        <f t="shared" si="129"/>
        <v>5740.5587570983689</v>
      </c>
      <c r="U149" s="465">
        <f t="shared" si="130"/>
        <v>16326.649292283833</v>
      </c>
    </row>
    <row r="150" spans="1:21">
      <c r="A150">
        <f>'Input data'!A137</f>
        <v>2037</v>
      </c>
      <c r="C150" s="116">
        <f>'4A SWD Case 2'!BN107</f>
        <v>410.65655452082513</v>
      </c>
      <c r="D150" s="3">
        <f>'4B Biological treatment '!T203</f>
        <v>0.85413260579770744</v>
      </c>
      <c r="E150" s="152">
        <f>'4B Biological treatment '!U203</f>
        <v>38.435967260896831</v>
      </c>
      <c r="F150" s="152">
        <f>'4B Biological treatment '!W203</f>
        <v>2.3061580356538096</v>
      </c>
      <c r="G150" s="688">
        <f>'4C2 Open-burning '!R142</f>
        <v>10.203787853753198</v>
      </c>
      <c r="H150" s="688">
        <f>'4C2 Open-burning '!Z142</f>
        <v>3.4332622200210539</v>
      </c>
      <c r="I150" s="688">
        <f>'4C2 Open-burning '!AH142</f>
        <v>4.7796804804884324E-2</v>
      </c>
      <c r="J150" s="93">
        <f>'4D Wastewater treatment and dis'!AV179</f>
        <v>223.38543943895829</v>
      </c>
      <c r="K150" s="3">
        <f>'4D Wastewater treatment and dis'!AW179</f>
        <v>3.5209421212835057</v>
      </c>
      <c r="L150" s="465">
        <f t="shared" si="121"/>
        <v>8623.7876449373271</v>
      </c>
      <c r="M150" s="688">
        <f t="shared" si="122"/>
        <v>17.936784721751856</v>
      </c>
      <c r="N150" s="465">
        <f t="shared" si="123"/>
        <v>1522.0643035315145</v>
      </c>
      <c r="O150" s="464">
        <f t="shared" si="124"/>
        <v>97.11930396370947</v>
      </c>
      <c r="P150" s="465">
        <f t="shared" si="125"/>
        <v>5782.5862858160108</v>
      </c>
      <c r="Q150" s="465">
        <f t="shared" si="126"/>
        <v>8623.7876449373271</v>
      </c>
      <c r="R150" s="467">
        <f t="shared" si="127"/>
        <v>1540.0010882532663</v>
      </c>
      <c r="S150" s="464">
        <f t="shared" si="128"/>
        <v>97.11930396370947</v>
      </c>
      <c r="T150" s="465">
        <f t="shared" si="129"/>
        <v>5782.5862858160108</v>
      </c>
      <c r="U150" s="465">
        <f t="shared" si="130"/>
        <v>16043.494322970313</v>
      </c>
    </row>
    <row r="151" spans="1:21">
      <c r="A151">
        <f>'Input data'!A138</f>
        <v>2038</v>
      </c>
      <c r="C151" s="116">
        <f>'4A SWD Case 2'!BN108</f>
        <v>395.24407009589083</v>
      </c>
      <c r="D151" s="3">
        <f>'4B Biological treatment '!T204</f>
        <v>0.862306670355248</v>
      </c>
      <c r="E151" s="152">
        <f>'4B Biological treatment '!U204</f>
        <v>38.803800165986161</v>
      </c>
      <c r="F151" s="152">
        <f>'4B Biological treatment '!W204</f>
        <v>2.3282280099591697</v>
      </c>
      <c r="G151" s="688">
        <f>'4C2 Open-burning '!R143</f>
        <v>10.179156222495859</v>
      </c>
      <c r="H151" s="688">
        <f>'4C2 Open-burning '!Z143</f>
        <v>3.4249744302095286</v>
      </c>
      <c r="I151" s="688">
        <f>'4C2 Open-burning '!AH143</f>
        <v>4.7681424782474335E-2</v>
      </c>
      <c r="J151" s="93">
        <f>'4D Wastewater treatment and dis'!AV180</f>
        <v>225.02087918766139</v>
      </c>
      <c r="K151" s="3">
        <f>'4D Wastewater treatment and dis'!AW180</f>
        <v>3.5467194893720086</v>
      </c>
      <c r="L151" s="465">
        <f t="shared" si="121"/>
        <v>8300.1254720137076</v>
      </c>
      <c r="M151" s="688">
        <f t="shared" si="122"/>
        <v>18.108440077460209</v>
      </c>
      <c r="N151" s="465">
        <f t="shared" si="123"/>
        <v>1536.6304865730519</v>
      </c>
      <c r="O151" s="464">
        <f t="shared" si="124"/>
        <v>96.88486093946301</v>
      </c>
      <c r="P151" s="465">
        <f t="shared" si="125"/>
        <v>5824.9215046462123</v>
      </c>
      <c r="Q151" s="465">
        <f t="shared" si="126"/>
        <v>8300.1254720137076</v>
      </c>
      <c r="R151" s="467">
        <f t="shared" si="127"/>
        <v>1554.7389266505122</v>
      </c>
      <c r="S151" s="464">
        <f t="shared" si="128"/>
        <v>96.88486093946301</v>
      </c>
      <c r="T151" s="465">
        <f t="shared" si="129"/>
        <v>5824.9215046462123</v>
      </c>
      <c r="U151" s="465">
        <f t="shared" si="130"/>
        <v>15776.670764249895</v>
      </c>
    </row>
    <row r="152" spans="1:21">
      <c r="A152">
        <f>'Input data'!A139</f>
        <v>2039</v>
      </c>
      <c r="C152" s="116">
        <f>'4A SWD Case 2'!BN109</f>
        <v>380.59300656440661</v>
      </c>
      <c r="D152" s="3">
        <f>'4B Biological treatment '!T205</f>
        <v>0.87053532313980053</v>
      </c>
      <c r="E152" s="152">
        <f>'4B Biological treatment '!U205</f>
        <v>39.174089541291025</v>
      </c>
      <c r="F152" s="152">
        <f>'4B Biological treatment '!W205</f>
        <v>2.3504453724774614</v>
      </c>
      <c r="G152" s="688">
        <f>'4C2 Open-burning '!R144</f>
        <v>10.154820958102038</v>
      </c>
      <c r="H152" s="688">
        <f>'4C2 Open-burning '!Z144</f>
        <v>3.4167863587741936</v>
      </c>
      <c r="I152" s="688">
        <f>'4C2 Open-burning '!AH144</f>
        <v>4.7567433008166821E-2</v>
      </c>
      <c r="J152" s="93">
        <f>'4D Wastewater treatment and dis'!AV181</f>
        <v>226.66829224661399</v>
      </c>
      <c r="K152" s="3">
        <f>'4D Wastewater treatment and dis'!AW181</f>
        <v>3.5726855776049167</v>
      </c>
      <c r="L152" s="465">
        <f t="shared" si="121"/>
        <v>7992.4531378525389</v>
      </c>
      <c r="M152" s="688">
        <f t="shared" si="122"/>
        <v>18.281241785935812</v>
      </c>
      <c r="N152" s="465">
        <f t="shared" si="123"/>
        <v>1551.2939458351245</v>
      </c>
      <c r="O152" s="464">
        <f t="shared" si="124"/>
        <v>96.653238724891821</v>
      </c>
      <c r="P152" s="465">
        <f t="shared" si="125"/>
        <v>5867.5666662364183</v>
      </c>
      <c r="Q152" s="465">
        <f t="shared" si="126"/>
        <v>7992.4531378525389</v>
      </c>
      <c r="R152" s="467">
        <f t="shared" si="127"/>
        <v>1569.5751876210604</v>
      </c>
      <c r="S152" s="464">
        <f t="shared" si="128"/>
        <v>96.653238724891821</v>
      </c>
      <c r="T152" s="465">
        <f t="shared" si="129"/>
        <v>5867.5666662364183</v>
      </c>
      <c r="U152" s="465">
        <f t="shared" si="130"/>
        <v>15526.248230434909</v>
      </c>
    </row>
    <row r="153" spans="1:21">
      <c r="A153">
        <f>'Input data'!A140</f>
        <v>2040</v>
      </c>
      <c r="C153" s="116">
        <f>'4A SWD Case 2'!BN110</f>
        <v>366.66625346817557</v>
      </c>
      <c r="D153" s="3">
        <f>'4B Biological treatment '!T206</f>
        <v>0.87895224551568041</v>
      </c>
      <c r="E153" s="152">
        <f>'4B Biological treatment '!U206</f>
        <v>39.552851048205611</v>
      </c>
      <c r="F153" s="152">
        <f>'4B Biological treatment '!W206</f>
        <v>2.3731710628923368</v>
      </c>
      <c r="G153" s="688">
        <f>'4C2 Open-burning '!R145</f>
        <v>10.130777379596603</v>
      </c>
      <c r="H153" s="688">
        <f>'4C2 Open-burning '!Z145</f>
        <v>3.4086964307102301</v>
      </c>
      <c r="I153" s="688">
        <f>'4C2 Open-burning '!AH145</f>
        <v>4.7454807555236386E-2</v>
      </c>
      <c r="J153" s="93">
        <f>'4D Wastewater treatment and dis'!AV182</f>
        <v>228.32776627429359</v>
      </c>
      <c r="K153" s="3">
        <f>'4D Wastewater treatment and dis'!AW182</f>
        <v>3.5988417676319293</v>
      </c>
      <c r="L153" s="465">
        <f t="shared" si="121"/>
        <v>7699.9913228316873</v>
      </c>
      <c r="M153" s="688">
        <f t="shared" si="122"/>
        <v>18.45799715582929</v>
      </c>
      <c r="N153" s="465">
        <f t="shared" si="123"/>
        <v>1566.2929015089421</v>
      </c>
      <c r="O153" s="464">
        <f t="shared" si="124"/>
        <v>96.424392766634725</v>
      </c>
      <c r="P153" s="465">
        <f t="shared" si="125"/>
        <v>5910.5240397260632</v>
      </c>
      <c r="Q153" s="465">
        <f t="shared" si="126"/>
        <v>7699.9913228316873</v>
      </c>
      <c r="R153" s="467">
        <f t="shared" si="127"/>
        <v>1584.7508986647715</v>
      </c>
      <c r="S153" s="464">
        <f t="shared" si="128"/>
        <v>96.424392766634725</v>
      </c>
      <c r="T153" s="465">
        <f t="shared" si="129"/>
        <v>5910.5240397260632</v>
      </c>
      <c r="U153" s="465">
        <f t="shared" si="130"/>
        <v>15291.690653989157</v>
      </c>
    </row>
    <row r="154" spans="1:21">
      <c r="A154">
        <f>'Input data'!A141</f>
        <v>2041</v>
      </c>
      <c r="C154" s="116">
        <f>'4A SWD Case 2'!BN111</f>
        <v>353.42850802738349</v>
      </c>
      <c r="D154" s="3">
        <f>'4B Biological treatment '!T207</f>
        <v>0.88768899937790691</v>
      </c>
      <c r="E154" s="152">
        <f>'4B Biological treatment '!U207</f>
        <v>39.946004972005802</v>
      </c>
      <c r="F154" s="152">
        <f>'4B Biological treatment '!W207</f>
        <v>2.3967602983203484</v>
      </c>
      <c r="G154" s="688">
        <f>'4C2 Open-burning '!R146</f>
        <v>10.110594115867606</v>
      </c>
      <c r="H154" s="688">
        <f>'4C2 Open-burning '!Z146</f>
        <v>3.4019053803835613</v>
      </c>
      <c r="I154" s="688">
        <f>'4C2 Open-burning '!AH146</f>
        <v>4.7360264672670904E-2</v>
      </c>
      <c r="J154" s="93">
        <f>'4D Wastewater treatment and dis'!AV183</f>
        <v>229.74589393780369</v>
      </c>
      <c r="K154" s="3">
        <f>'4D Wastewater treatment and dis'!AW183</f>
        <v>3.6211939201999317</v>
      </c>
      <c r="L154" s="465">
        <f t="shared" si="121"/>
        <v>7421.9986685750537</v>
      </c>
      <c r="M154" s="688">
        <f t="shared" si="122"/>
        <v>18.641468986936044</v>
      </c>
      <c r="N154" s="465">
        <f t="shared" si="123"/>
        <v>1581.86179689143</v>
      </c>
      <c r="O154" s="464">
        <f t="shared" si="124"/>
        <v>96.232289152450377</v>
      </c>
      <c r="P154" s="465">
        <f t="shared" si="125"/>
        <v>5947.2338879558556</v>
      </c>
      <c r="Q154" s="465">
        <f t="shared" si="126"/>
        <v>7421.9986685750537</v>
      </c>
      <c r="R154" s="467">
        <f t="shared" si="127"/>
        <v>1600.5032658783659</v>
      </c>
      <c r="S154" s="464">
        <f t="shared" si="128"/>
        <v>96.232289152450377</v>
      </c>
      <c r="T154" s="465">
        <f t="shared" si="129"/>
        <v>5947.2338879558556</v>
      </c>
      <c r="U154" s="465">
        <f t="shared" si="130"/>
        <v>15065.968111561726</v>
      </c>
    </row>
    <row r="155" spans="1:21">
      <c r="A155">
        <f>'Input data'!A142</f>
        <v>2042</v>
      </c>
      <c r="C155" s="116">
        <f>'4A SWD Case 2'!BN112</f>
        <v>340.84444622986524</v>
      </c>
      <c r="D155" s="3">
        <f>'4B Biological treatment '!T208</f>
        <v>0.896089606864377</v>
      </c>
      <c r="E155" s="152">
        <f>'4B Biological treatment '!U208</f>
        <v>40.32403230889696</v>
      </c>
      <c r="F155" s="152">
        <f>'4B Biological treatment '!W208</f>
        <v>2.4194419385338177</v>
      </c>
      <c r="G155" s="688">
        <f>'4C2 Open-burning '!R147</f>
        <v>10.090614955764785</v>
      </c>
      <c r="H155" s="688">
        <f>'4C2 Open-burning '!Z147</f>
        <v>3.3951830046783922</v>
      </c>
      <c r="I155" s="688">
        <f>'4C2 Open-burning '!AH147</f>
        <v>4.7266677856746583E-2</v>
      </c>
      <c r="J155" s="93">
        <f>'4D Wastewater treatment and dis'!AV184</f>
        <v>231.17282949228024</v>
      </c>
      <c r="K155" s="3">
        <f>'4D Wastewater treatment and dis'!AW184</f>
        <v>3.6436849004121257</v>
      </c>
      <c r="L155" s="465">
        <f t="shared" si="121"/>
        <v>7157.7333708271699</v>
      </c>
      <c r="M155" s="688">
        <f t="shared" si="122"/>
        <v>18.817881744151919</v>
      </c>
      <c r="N155" s="465">
        <f t="shared" si="123"/>
        <v>1596.8316794323196</v>
      </c>
      <c r="O155" s="464">
        <f t="shared" si="124"/>
        <v>96.042128189602451</v>
      </c>
      <c r="P155" s="465">
        <f t="shared" si="125"/>
        <v>5984.171738465644</v>
      </c>
      <c r="Q155" s="465">
        <f t="shared" si="126"/>
        <v>7157.7333708271699</v>
      </c>
      <c r="R155" s="467">
        <f t="shared" si="127"/>
        <v>1615.6495611764715</v>
      </c>
      <c r="S155" s="464">
        <f t="shared" si="128"/>
        <v>96.042128189602451</v>
      </c>
      <c r="T155" s="465">
        <f t="shared" si="129"/>
        <v>5984.171738465644</v>
      </c>
      <c r="U155" s="465">
        <f t="shared" si="130"/>
        <v>14853.596798658889</v>
      </c>
    </row>
    <row r="156" spans="1:21">
      <c r="A156">
        <f>'Input data'!A143</f>
        <v>2043</v>
      </c>
      <c r="C156" s="116">
        <f>'4A SWD Case 2'!BN113</f>
        <v>328.88222166055414</v>
      </c>
      <c r="D156" s="3">
        <f>'4B Biological treatment '!T209</f>
        <v>0.90472863387573854</v>
      </c>
      <c r="E156" s="152">
        <f>'4B Biological treatment '!U209</f>
        <v>40.712788524408225</v>
      </c>
      <c r="F156" s="152">
        <f>'4B Biological treatment '!W209</f>
        <v>2.4427673114644937</v>
      </c>
      <c r="G156" s="688">
        <f>'4C2 Open-burning '!R148</f>
        <v>10.070837196069071</v>
      </c>
      <c r="H156" s="688">
        <f>'4C2 Open-burning '!Z148</f>
        <v>3.3885283940442661</v>
      </c>
      <c r="I156" s="688">
        <f>'4C2 Open-burning '!AH148</f>
        <v>4.7174034444985899E-2</v>
      </c>
      <c r="J156" s="93">
        <f>'4D Wastewater treatment and dis'!AV185</f>
        <v>232.6086276429136</v>
      </c>
      <c r="K156" s="3">
        <f>'4D Wastewater treatment and dis'!AW185</f>
        <v>3.666315570517225</v>
      </c>
      <c r="L156" s="465">
        <f t="shared" si="121"/>
        <v>6906.5266548716372</v>
      </c>
      <c r="M156" s="688">
        <f t="shared" si="122"/>
        <v>18.999301311390511</v>
      </c>
      <c r="N156" s="465">
        <f t="shared" si="123"/>
        <v>1612.2264255665659</v>
      </c>
      <c r="O156" s="464">
        <f t="shared" si="124"/>
        <v>95.853884148944275</v>
      </c>
      <c r="P156" s="465">
        <f t="shared" si="125"/>
        <v>6021.3390073615255</v>
      </c>
      <c r="Q156" s="465">
        <f t="shared" si="126"/>
        <v>6906.5266548716372</v>
      </c>
      <c r="R156" s="467">
        <f t="shared" si="127"/>
        <v>1631.2257268779565</v>
      </c>
      <c r="S156" s="464">
        <f t="shared" si="128"/>
        <v>95.853884148944275</v>
      </c>
      <c r="T156" s="465">
        <f t="shared" si="129"/>
        <v>6021.3390073615255</v>
      </c>
      <c r="U156" s="465">
        <f t="shared" si="130"/>
        <v>14654.945273260062</v>
      </c>
    </row>
    <row r="157" spans="1:21">
      <c r="A157">
        <f>'Input data'!A144</f>
        <v>2044</v>
      </c>
      <c r="C157" s="116">
        <f>'4A SWD Case 2'!BN114</f>
        <v>317.5115384851</v>
      </c>
      <c r="D157" s="3">
        <f>'4B Biological treatment '!T210</f>
        <v>0.91370738037125498</v>
      </c>
      <c r="E157" s="152">
        <f>'4B Biological treatment '!U210</f>
        <v>41.116832116706469</v>
      </c>
      <c r="F157" s="152">
        <f>'4B Biological treatment '!W210</f>
        <v>2.4670099270023877</v>
      </c>
      <c r="G157" s="688">
        <f>'4C2 Open-burning '!R149</f>
        <v>10.051258180143671</v>
      </c>
      <c r="H157" s="688">
        <f>'4C2 Open-burning '!Z149</f>
        <v>3.3819406546042359</v>
      </c>
      <c r="I157" s="688">
        <f>'4C2 Open-burning '!AH149</f>
        <v>4.7082321993113047E-2</v>
      </c>
      <c r="J157" s="93">
        <f>'4D Wastewater treatment and dis'!AV186</f>
        <v>234.0533434346637</v>
      </c>
      <c r="K157" s="3">
        <f>'4D Wastewater treatment and dis'!AW186</f>
        <v>3.6890867981193103</v>
      </c>
      <c r="L157" s="465">
        <f t="shared" si="121"/>
        <v>6667.7423081871002</v>
      </c>
      <c r="M157" s="688">
        <f t="shared" si="122"/>
        <v>19.187854987796356</v>
      </c>
      <c r="N157" s="465">
        <f t="shared" si="123"/>
        <v>1628.2265518215761</v>
      </c>
      <c r="O157" s="464">
        <f t="shared" si="124"/>
        <v>95.667531744697669</v>
      </c>
      <c r="P157" s="465">
        <f t="shared" si="125"/>
        <v>6058.7371195449232</v>
      </c>
      <c r="Q157" s="465">
        <f t="shared" si="126"/>
        <v>6667.7423081871002</v>
      </c>
      <c r="R157" s="467">
        <f t="shared" si="127"/>
        <v>1647.4144068093724</v>
      </c>
      <c r="S157" s="464">
        <f t="shared" si="128"/>
        <v>95.667531744697669</v>
      </c>
      <c r="T157" s="465">
        <f t="shared" si="129"/>
        <v>6058.7371195449232</v>
      </c>
      <c r="U157" s="465">
        <f t="shared" si="130"/>
        <v>14469.561366286092</v>
      </c>
    </row>
    <row r="158" spans="1:21">
      <c r="A158">
        <f>'Input data'!A145</f>
        <v>2045</v>
      </c>
      <c r="C158" s="116">
        <f>'4A SWD Case 2'!BN115</f>
        <v>306.70357601527076</v>
      </c>
      <c r="D158" s="3">
        <f>'4B Biological treatment '!T211</f>
        <v>0.92302914992576079</v>
      </c>
      <c r="E158" s="152">
        <f>'4B Biological treatment '!U211</f>
        <v>41.53631174665923</v>
      </c>
      <c r="F158" s="152">
        <f>'4B Biological treatment '!W211</f>
        <v>2.4921787047995538</v>
      </c>
      <c r="G158" s="688">
        <f>'4C2 Open-burning '!R150</f>
        <v>10.031875296933661</v>
      </c>
      <c r="H158" s="688">
        <f>'4C2 Open-burning '!Z150</f>
        <v>3.3754189078182595</v>
      </c>
      <c r="I158" s="688">
        <f>'4C2 Open-burning '!AH150</f>
        <v>4.699152827036783E-2</v>
      </c>
      <c r="J158" s="93">
        <f>'4D Wastewater treatment and dis'!AV187</f>
        <v>235.50703225437104</v>
      </c>
      <c r="K158" s="3">
        <f>'4D Wastewater treatment and dis'!AW187</f>
        <v>3.711999456211089</v>
      </c>
      <c r="L158" s="465">
        <f t="shared" si="121"/>
        <v>6440.7750963206854</v>
      </c>
      <c r="M158" s="688">
        <f t="shared" si="122"/>
        <v>19.383612148440978</v>
      </c>
      <c r="N158" s="465">
        <f t="shared" si="123"/>
        <v>1644.8379451677056</v>
      </c>
      <c r="O158" s="464">
        <f t="shared" si="124"/>
        <v>95.48304612493115</v>
      </c>
      <c r="P158" s="465">
        <f t="shared" si="125"/>
        <v>6096.3675087672291</v>
      </c>
      <c r="Q158" s="465">
        <f t="shared" si="126"/>
        <v>6440.7750963206854</v>
      </c>
      <c r="R158" s="467">
        <f t="shared" si="127"/>
        <v>1664.2215573161466</v>
      </c>
      <c r="S158" s="464">
        <f t="shared" si="128"/>
        <v>95.48304612493115</v>
      </c>
      <c r="T158" s="465">
        <f t="shared" si="129"/>
        <v>6096.3675087672291</v>
      </c>
      <c r="U158" s="465">
        <f t="shared" si="130"/>
        <v>14296.847208528992</v>
      </c>
    </row>
    <row r="159" spans="1:21">
      <c r="A159">
        <f>'Input data'!A146</f>
        <v>2046</v>
      </c>
      <c r="C159" s="116">
        <f>'4A SWD Case 2'!BN116</f>
        <v>296.84364058258222</v>
      </c>
      <c r="D159" s="3">
        <f>'4B Biological treatment '!T212</f>
        <v>0.93237717248149377</v>
      </c>
      <c r="E159" s="152">
        <f>'4B Biological treatment '!U212</f>
        <v>41.956972761667217</v>
      </c>
      <c r="F159" s="152">
        <f>'4B Biological treatment '!W212</f>
        <v>2.5174183657000331</v>
      </c>
      <c r="G159" s="688">
        <f>'4C2 Open-burning '!R151</f>
        <v>10.016080649685344</v>
      </c>
      <c r="H159" s="688">
        <f>'4C2 Open-burning '!Z151</f>
        <v>3.3701044925782111</v>
      </c>
      <c r="I159" s="688">
        <f>'4C2 Open-burning '!AH151</f>
        <v>4.6917542640490965E-2</v>
      </c>
      <c r="J159" s="93">
        <f>'4D Wastewater treatment and dis'!AV188</f>
        <v>236.70925796835201</v>
      </c>
      <c r="K159" s="3">
        <f>'4D Wastewater treatment and dis'!AW188</f>
        <v>3.7309486194433799</v>
      </c>
      <c r="L159" s="465">
        <f t="shared" si="121"/>
        <v>6233.7164522342264</v>
      </c>
      <c r="M159" s="688">
        <f t="shared" si="122"/>
        <v>19.57992062211137</v>
      </c>
      <c r="N159" s="465">
        <f t="shared" si="123"/>
        <v>1661.4961213620218</v>
      </c>
      <c r="O159" s="464">
        <f t="shared" si="124"/>
        <v>95.332713212379986</v>
      </c>
      <c r="P159" s="465">
        <f t="shared" si="125"/>
        <v>6127.4884893628396</v>
      </c>
      <c r="Q159" s="465">
        <f t="shared" si="126"/>
        <v>6233.7164522342264</v>
      </c>
      <c r="R159" s="467">
        <f t="shared" si="127"/>
        <v>1681.0760419841331</v>
      </c>
      <c r="S159" s="464">
        <f t="shared" si="128"/>
        <v>95.332713212379986</v>
      </c>
      <c r="T159" s="465">
        <f t="shared" si="129"/>
        <v>6127.4884893628396</v>
      </c>
      <c r="U159" s="465">
        <f t="shared" si="130"/>
        <v>14137.613696793578</v>
      </c>
    </row>
    <row r="160" spans="1:21">
      <c r="A160">
        <f>'Input data'!A147</f>
        <v>2047</v>
      </c>
      <c r="C160" s="116">
        <f>'4A SWD Case 2'!BN117</f>
        <v>288.11401872942531</v>
      </c>
      <c r="D160" s="3">
        <f>'4B Biological treatment '!T213</f>
        <v>0.93447488003222889</v>
      </c>
      <c r="E160" s="152">
        <f>'4B Biological treatment '!U213</f>
        <v>42.051369601450297</v>
      </c>
      <c r="F160" s="152">
        <f>'4B Biological treatment '!W213</f>
        <v>2.5230821760870179</v>
      </c>
      <c r="G160" s="688">
        <f>'4C2 Open-burning '!R152</f>
        <v>10.000415502259907</v>
      </c>
      <c r="H160" s="688">
        <f>'4C2 Open-burning '!Z152</f>
        <v>3.3648336500638756</v>
      </c>
      <c r="I160" s="688">
        <f>'4C2 Open-burning '!AH152</f>
        <v>4.6844163616498617E-2</v>
      </c>
      <c r="J160" s="93">
        <f>'4D Wastewater treatment and dis'!AV189</f>
        <v>237.91762085222362</v>
      </c>
      <c r="K160" s="3">
        <f>'4D Wastewater treatment and dis'!AW189</f>
        <v>3.74999451512174</v>
      </c>
      <c r="L160" s="465">
        <f t="shared" si="121"/>
        <v>6050.3943933179316</v>
      </c>
      <c r="M160" s="688">
        <f t="shared" si="122"/>
        <v>19.623972480676805</v>
      </c>
      <c r="N160" s="465">
        <f t="shared" si="123"/>
        <v>1665.2342362174318</v>
      </c>
      <c r="O160" s="464">
        <f t="shared" si="124"/>
        <v>95.183612874715863</v>
      </c>
      <c r="P160" s="465">
        <f t="shared" si="125"/>
        <v>6158.7683375844354</v>
      </c>
      <c r="Q160" s="465">
        <f t="shared" si="126"/>
        <v>6050.3943933179316</v>
      </c>
      <c r="R160" s="467">
        <f t="shared" si="127"/>
        <v>1684.8582086981087</v>
      </c>
      <c r="S160" s="464">
        <f t="shared" si="128"/>
        <v>95.183612874715863</v>
      </c>
      <c r="T160" s="465">
        <f t="shared" si="129"/>
        <v>6158.7683375844354</v>
      </c>
      <c r="U160" s="465">
        <f t="shared" si="130"/>
        <v>13989.204552475192</v>
      </c>
    </row>
    <row r="161" spans="1:21">
      <c r="A161">
        <f>'Input data'!A148</f>
        <v>2048</v>
      </c>
      <c r="C161" s="116">
        <f>'4A SWD Case 2'!BN118</f>
        <v>280.45934265858983</v>
      </c>
      <c r="D161" s="3">
        <f>'4B Biological treatment '!T214</f>
        <v>0.93572835650897712</v>
      </c>
      <c r="E161" s="152">
        <f>'4B Biological treatment '!U214</f>
        <v>42.107776042903964</v>
      </c>
      <c r="F161" s="152">
        <f>'4B Biological treatment '!W214</f>
        <v>2.526466562574238</v>
      </c>
      <c r="G161" s="688">
        <f>'4C2 Open-burning '!R153</f>
        <v>9.984878469104487</v>
      </c>
      <c r="H161" s="688">
        <f>'4C2 Open-burning '!Z153</f>
        <v>3.3596059140791366</v>
      </c>
      <c r="I161" s="688">
        <f>'4C2 Open-burning '!AH153</f>
        <v>4.6771384708153965E-2</v>
      </c>
      <c r="J161" s="93">
        <f>'4D Wastewater treatment and dis'!AV190</f>
        <v>239.13215223525594</v>
      </c>
      <c r="K161" s="3">
        <f>'4D Wastewater treatment and dis'!AW190</f>
        <v>3.769137637049826</v>
      </c>
      <c r="L161" s="465">
        <f t="shared" si="121"/>
        <v>5889.6461958303862</v>
      </c>
      <c r="M161" s="688">
        <f t="shared" si="122"/>
        <v>19.65029548668852</v>
      </c>
      <c r="N161" s="465">
        <f t="shared" si="123"/>
        <v>1667.467931298997</v>
      </c>
      <c r="O161" s="464">
        <f t="shared" si="124"/>
        <v>95.035731924294083</v>
      </c>
      <c r="P161" s="465">
        <f t="shared" si="125"/>
        <v>6190.2078644258199</v>
      </c>
      <c r="Q161" s="465">
        <f t="shared" si="126"/>
        <v>5889.6461958303862</v>
      </c>
      <c r="R161" s="467">
        <f t="shared" si="127"/>
        <v>1687.1182267856855</v>
      </c>
      <c r="S161" s="464">
        <f t="shared" si="128"/>
        <v>95.035731924294083</v>
      </c>
      <c r="T161" s="465">
        <f t="shared" si="129"/>
        <v>6190.2078644258199</v>
      </c>
      <c r="U161" s="465">
        <f t="shared" si="130"/>
        <v>13862.008018966186</v>
      </c>
    </row>
    <row r="162" spans="1:21">
      <c r="A162">
        <f>'Input data'!A149</f>
        <v>2049</v>
      </c>
      <c r="C162" s="116">
        <f>'4A SWD Case 2'!BN119</f>
        <v>273.82764260756721</v>
      </c>
      <c r="D162" s="3">
        <f>'4B Biological treatment '!T215</f>
        <v>0.93702565315076758</v>
      </c>
      <c r="E162" s="152">
        <f>'4B Biological treatment '!U215</f>
        <v>42.166154391784538</v>
      </c>
      <c r="F162" s="152">
        <f>'4B Biological treatment '!W215</f>
        <v>2.5299692635070721</v>
      </c>
      <c r="G162" s="688">
        <f>'4C2 Open-burning '!R154</f>
        <v>9.9694681839421868</v>
      </c>
      <c r="H162" s="688">
        <f>'4C2 Open-burning '!Z154</f>
        <v>3.3544208249136438</v>
      </c>
      <c r="I162" s="688">
        <f>'4C2 Open-burning '!AH154</f>
        <v>4.669919951551306E-2</v>
      </c>
      <c r="J162" s="93">
        <f>'4D Wastewater treatment and dis'!AV191</f>
        <v>240.35288360665007</v>
      </c>
      <c r="K162" s="3">
        <f>'4D Wastewater treatment and dis'!AW191</f>
        <v>3.7883784815520856</v>
      </c>
      <c r="L162" s="465">
        <f t="shared" si="121"/>
        <v>5750.3804947589115</v>
      </c>
      <c r="M162" s="688">
        <f t="shared" si="122"/>
        <v>19.677538716166119</v>
      </c>
      <c r="N162" s="465">
        <f t="shared" si="123"/>
        <v>1669.7797139146678</v>
      </c>
      <c r="O162" s="464">
        <f t="shared" si="124"/>
        <v>94.889057356937755</v>
      </c>
      <c r="P162" s="465">
        <f t="shared" si="125"/>
        <v>6221.8078850207985</v>
      </c>
      <c r="Q162" s="465">
        <f t="shared" si="126"/>
        <v>5750.3804947589115</v>
      </c>
      <c r="R162" s="467">
        <f t="shared" si="127"/>
        <v>1689.4572526308339</v>
      </c>
      <c r="S162" s="464">
        <f t="shared" si="128"/>
        <v>94.889057356937755</v>
      </c>
      <c r="T162" s="465">
        <f t="shared" si="129"/>
        <v>6221.8078850207985</v>
      </c>
      <c r="U162" s="465">
        <f t="shared" si="130"/>
        <v>13756.534689767483</v>
      </c>
    </row>
    <row r="163" spans="1:21">
      <c r="A163">
        <f>'Input data'!A150</f>
        <v>2050</v>
      </c>
      <c r="C163" s="116">
        <f>'4A SWD Case 2'!BN120</f>
        <v>268.17009901589267</v>
      </c>
      <c r="D163" s="3">
        <f>'4B Biological treatment '!T216</f>
        <v>0.9379745019193505</v>
      </c>
      <c r="E163" s="152">
        <f>'4B Biological treatment '!U216</f>
        <v>42.208852586370767</v>
      </c>
      <c r="F163" s="152">
        <f>'4B Biological treatment '!W216</f>
        <v>2.5325311551822463</v>
      </c>
      <c r="G163" s="688">
        <f>'4C2 Open-burning '!R155</f>
        <v>9.9541832994375596</v>
      </c>
      <c r="H163" s="688">
        <f>'4C2 Open-burning '!Z155</f>
        <v>3.3492779292302703</v>
      </c>
      <c r="I163" s="688">
        <f>'4C2 Open-burning '!AH155</f>
        <v>4.6627601727357929E-2</v>
      </c>
      <c r="J163" s="93">
        <f>'4D Wastewater treatment and dis'!AV192</f>
        <v>241.57984661635467</v>
      </c>
      <c r="K163" s="3">
        <f>'4D Wastewater treatment and dis'!AW192</f>
        <v>3.8077175474866229</v>
      </c>
      <c r="L163" s="465">
        <f t="shared" si="121"/>
        <v>5631.5720793337459</v>
      </c>
      <c r="M163" s="688">
        <f t="shared" si="122"/>
        <v>19.69746454030636</v>
      </c>
      <c r="N163" s="465">
        <f t="shared" si="123"/>
        <v>1671.4705624202825</v>
      </c>
      <c r="O163" s="464">
        <f t="shared" si="124"/>
        <v>94.743576348754203</v>
      </c>
      <c r="P163" s="465">
        <f t="shared" si="125"/>
        <v>6253.5692186643009</v>
      </c>
      <c r="Q163" s="417">
        <f t="shared" si="126"/>
        <v>5631.5720793337459</v>
      </c>
      <c r="R163" s="463">
        <f t="shared" si="127"/>
        <v>1691.1680269605888</v>
      </c>
      <c r="S163" s="460">
        <f t="shared" si="128"/>
        <v>94.743576348754203</v>
      </c>
      <c r="T163" s="417">
        <f t="shared" si="129"/>
        <v>6253.5692186643009</v>
      </c>
      <c r="U163" s="417">
        <f t="shared" si="130"/>
        <v>13671.05290130739</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1.2710110729266071</v>
      </c>
      <c r="E166" s="152">
        <f>'4B Biological treatment '!U219</f>
        <v>19.938637002127678</v>
      </c>
      <c r="F166" s="152">
        <f>'4B Biological treatment '!W219</f>
        <v>1.1963182201276608</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26.691232531458748</v>
      </c>
      <c r="N166" s="465">
        <f t="shared" si="132"/>
        <v>789.57002528425608</v>
      </c>
      <c r="O166" s="464">
        <f t="shared" si="133"/>
        <v>307.81392004196488</v>
      </c>
      <c r="P166" s="465">
        <f t="shared" si="134"/>
        <v>3922.0560748079342</v>
      </c>
      <c r="Q166" s="465">
        <f t="shared" si="135"/>
        <v>16839.906548915631</v>
      </c>
      <c r="R166" s="467">
        <f t="shared" si="136"/>
        <v>816.26125781571477</v>
      </c>
      <c r="S166" s="464">
        <f t="shared" si="137"/>
        <v>307.81392004196488</v>
      </c>
      <c r="T166" s="465">
        <f t="shared" si="138"/>
        <v>3922.0560748079342</v>
      </c>
      <c r="U166" s="465">
        <f t="shared" si="139"/>
        <v>21886.037801581242</v>
      </c>
    </row>
    <row r="167" spans="1:21">
      <c r="A167">
        <f>'Input data'!A120</f>
        <v>2020</v>
      </c>
      <c r="C167" s="266">
        <f>'4A SWD Case 3'!BG90</f>
        <v>782.12953757501634</v>
      </c>
      <c r="D167" s="3">
        <f>'4B Biological treatment '!T220</f>
        <v>1.8846522445872624</v>
      </c>
      <c r="E167" s="152">
        <f>'4B Biological treatment '!U220</f>
        <v>19.378699828860686</v>
      </c>
      <c r="F167" s="152">
        <f>'4B Biological treatment '!W220</f>
        <v>1.162721989731641</v>
      </c>
      <c r="G167" s="688">
        <f>'4C2 Open-burning '!R159</f>
        <v>31.469339877453482</v>
      </c>
      <c r="H167" s="688">
        <f>'4C2 Open-burning '!Z159</f>
        <v>10.588469423197822</v>
      </c>
      <c r="I167" s="688">
        <f>'4C2 Open-burning '!AH159</f>
        <v>0.14740936571980473</v>
      </c>
      <c r="J167" s="93">
        <f>'4D Wastewater treatment and dis'!AV196</f>
        <v>149.64833972612956</v>
      </c>
      <c r="K167" s="3">
        <f>'4D Wastewater treatment and dis'!AW196</f>
        <v>2.9904262793007734</v>
      </c>
      <c r="L167" s="465">
        <f t="shared" si="140"/>
        <v>16424.720289075343</v>
      </c>
      <c r="M167" s="688">
        <f t="shared" si="131"/>
        <v>39.57769713633251</v>
      </c>
      <c r="N167" s="465">
        <f t="shared" si="132"/>
        <v>767.39651322288307</v>
      </c>
      <c r="O167" s="464">
        <f t="shared" si="133"/>
        <v>299.52410113774715</v>
      </c>
      <c r="P167" s="465">
        <f t="shared" si="134"/>
        <v>4069.6472808319609</v>
      </c>
      <c r="Q167" s="465">
        <f t="shared" si="135"/>
        <v>16424.720289075343</v>
      </c>
      <c r="R167" s="467">
        <f t="shared" si="136"/>
        <v>806.97421035921559</v>
      </c>
      <c r="S167" s="464">
        <f t="shared" si="137"/>
        <v>299.52410113774715</v>
      </c>
      <c r="T167" s="465">
        <f t="shared" si="138"/>
        <v>4069.6472808319609</v>
      </c>
      <c r="U167" s="465">
        <f t="shared" si="139"/>
        <v>21600.865881404265</v>
      </c>
    </row>
    <row r="168" spans="1:21">
      <c r="A168">
        <f>'Input data'!A121</f>
        <v>2021</v>
      </c>
      <c r="C168" s="266">
        <f>'4A SWD Case 3'!BG91</f>
        <v>761.07571442292033</v>
      </c>
      <c r="D168" s="3">
        <f>'4B Biological treatment '!T221</f>
        <v>2.9049373069499969</v>
      </c>
      <c r="E168" s="152">
        <f>'4B Biological treatment '!U221</f>
        <v>20.613230297659896</v>
      </c>
      <c r="F168" s="152">
        <f>'4B Biological treatment '!W221</f>
        <v>1.2367938178595936</v>
      </c>
      <c r="G168" s="688">
        <f>'4C2 Open-burning '!R160</f>
        <v>28.931012243244801</v>
      </c>
      <c r="H168" s="688">
        <f>'4C2 Open-burning '!Z160</f>
        <v>9.7343998861328558</v>
      </c>
      <c r="I168" s="688">
        <f>'4C2 Open-burning '!AH160</f>
        <v>0.13551927625479393</v>
      </c>
      <c r="J168" s="93">
        <f>'4D Wastewater treatment and dis'!AV197</f>
        <v>155.42542691703585</v>
      </c>
      <c r="K168" s="3">
        <f>'4D Wastewater treatment and dis'!AW197</f>
        <v>3.0248585614028385</v>
      </c>
      <c r="L168" s="465">
        <f t="shared" si="140"/>
        <v>15982.590002881327</v>
      </c>
      <c r="M168" s="688">
        <f t="shared" si="131"/>
        <v>61.003683445949932</v>
      </c>
      <c r="N168" s="465">
        <f t="shared" si="132"/>
        <v>816.2839197873318</v>
      </c>
      <c r="O168" s="464">
        <f t="shared" si="133"/>
        <v>275.36438549102087</v>
      </c>
      <c r="P168" s="465">
        <f t="shared" si="134"/>
        <v>4201.6401192926323</v>
      </c>
      <c r="Q168" s="465">
        <f t="shared" si="135"/>
        <v>15982.590002881327</v>
      </c>
      <c r="R168" s="467">
        <f t="shared" si="136"/>
        <v>877.28760323328174</v>
      </c>
      <c r="S168" s="464">
        <f t="shared" si="137"/>
        <v>275.36438549102087</v>
      </c>
      <c r="T168" s="465">
        <f t="shared" si="138"/>
        <v>4201.6401192926323</v>
      </c>
      <c r="U168" s="465">
        <f t="shared" si="139"/>
        <v>21336.882110898263</v>
      </c>
    </row>
    <row r="169" spans="1:21">
      <c r="A169">
        <f>'Input data'!A122</f>
        <v>2022</v>
      </c>
      <c r="C169" s="266">
        <f>'4A SWD Case 3'!BG92</f>
        <v>735.24741340936725</v>
      </c>
      <c r="D169" s="3">
        <f>'4B Biological treatment '!T222</f>
        <v>3.8358510201929947</v>
      </c>
      <c r="E169" s="152">
        <f>'4B Biological treatment '!U222</f>
        <v>19.179255100964973</v>
      </c>
      <c r="F169" s="152">
        <f>'4B Biological treatment '!W222</f>
        <v>1.1507553060578983</v>
      </c>
      <c r="G169" s="688">
        <f>'4C2 Open-burning '!R161</f>
        <v>24.077995052126731</v>
      </c>
      <c r="H169" s="688">
        <f>'4C2 Open-burning '!Z161</f>
        <v>8.1015081782510823</v>
      </c>
      <c r="I169" s="688">
        <f>'4C2 Open-burning '!AH161</f>
        <v>0.11278666766637657</v>
      </c>
      <c r="J169" s="93">
        <f>'4D Wastewater treatment and dis'!AV198</f>
        <v>161.31571105616422</v>
      </c>
      <c r="K169" s="3">
        <f>'4D Wastewater treatment and dis'!AW198</f>
        <v>3.0596873027184164</v>
      </c>
      <c r="L169" s="465">
        <f t="shared" si="140"/>
        <v>15440.195681596713</v>
      </c>
      <c r="M169" s="688">
        <f t="shared" si="131"/>
        <v>80.552871424052896</v>
      </c>
      <c r="N169" s="465">
        <f t="shared" si="132"/>
        <v>759.49850199821299</v>
      </c>
      <c r="O169" s="464">
        <f t="shared" si="133"/>
        <v>229.17353377197622</v>
      </c>
      <c r="P169" s="465">
        <f t="shared" si="134"/>
        <v>4336.1329960221574</v>
      </c>
      <c r="Q169" s="465">
        <f t="shared" si="135"/>
        <v>15440.195681596713</v>
      </c>
      <c r="R169" s="467">
        <f t="shared" si="136"/>
        <v>840.0513734222659</v>
      </c>
      <c r="S169" s="464">
        <f t="shared" si="137"/>
        <v>229.17353377197622</v>
      </c>
      <c r="T169" s="465">
        <f t="shared" si="138"/>
        <v>4336.1329960221574</v>
      </c>
      <c r="U169" s="465">
        <f t="shared" si="139"/>
        <v>20845.553584813111</v>
      </c>
    </row>
    <row r="170" spans="1:21">
      <c r="A170">
        <f>'Input data'!A123</f>
        <v>2023</v>
      </c>
      <c r="C170" s="266">
        <f>'4A SWD Case 3'!BG93</f>
        <v>707.64427424305222</v>
      </c>
      <c r="D170" s="3">
        <f>'4B Biological treatment '!T223</f>
        <v>3.8528476560572686</v>
      </c>
      <c r="E170" s="152">
        <f>'4B Biological treatment '!U223</f>
        <v>19.264238280286342</v>
      </c>
      <c r="F170" s="152">
        <f>'4B Biological treatment '!W223</f>
        <v>1.1558542968171805</v>
      </c>
      <c r="G170" s="688">
        <f>'4C2 Open-burning '!R162</f>
        <v>22.834713354191649</v>
      </c>
      <c r="H170" s="688">
        <f>'4C2 Open-burning '!Z162</f>
        <v>7.6831819504283345</v>
      </c>
      <c r="I170" s="688">
        <f>'4C2 Open-burning '!AH162</f>
        <v>0.10696286051893278</v>
      </c>
      <c r="J170" s="93">
        <f>'4D Wastewater treatment and dis'!AV199</f>
        <v>167.32103297774702</v>
      </c>
      <c r="K170" s="3">
        <f>'4D Wastewater treatment and dis'!AW199</f>
        <v>3.0949170681470224</v>
      </c>
      <c r="L170" s="465">
        <f t="shared" si="140"/>
        <v>14860.529759104096</v>
      </c>
      <c r="M170" s="688">
        <f t="shared" si="131"/>
        <v>80.909800777202648</v>
      </c>
      <c r="N170" s="465">
        <f t="shared" si="132"/>
        <v>762.86383589933916</v>
      </c>
      <c r="O170" s="464">
        <f t="shared" si="133"/>
        <v>217.34002107405581</v>
      </c>
      <c r="P170" s="465">
        <f t="shared" si="134"/>
        <v>4473.1659836582639</v>
      </c>
      <c r="Q170" s="465">
        <f t="shared" si="135"/>
        <v>14860.529759104096</v>
      </c>
      <c r="R170" s="467">
        <f t="shared" si="136"/>
        <v>843.77363667654186</v>
      </c>
      <c r="S170" s="464">
        <f t="shared" si="137"/>
        <v>217.34002107405581</v>
      </c>
      <c r="T170" s="465">
        <f t="shared" si="138"/>
        <v>4473.1659836582639</v>
      </c>
      <c r="U170" s="465">
        <f t="shared" si="139"/>
        <v>20394.809400512961</v>
      </c>
    </row>
    <row r="171" spans="1:21">
      <c r="A171">
        <f>'Input data'!A124</f>
        <v>2024</v>
      </c>
      <c r="C171" s="266">
        <f>'4A SWD Case 3'!BG94</f>
        <v>681.16608634359386</v>
      </c>
      <c r="D171" s="3">
        <f>'4B Biological treatment '!T224</f>
        <v>3.8718008159136472</v>
      </c>
      <c r="E171" s="152">
        <f>'4B Biological treatment '!U224</f>
        <v>19.359004079568237</v>
      </c>
      <c r="F171" s="152">
        <f>'4B Biological treatment '!W224</f>
        <v>1.1615402447740941</v>
      </c>
      <c r="G171" s="688">
        <f>'4C2 Open-burning '!R163</f>
        <v>21.570135720604139</v>
      </c>
      <c r="H171" s="688">
        <f>'4C2 Open-burning '!Z163</f>
        <v>7.2576902922415494</v>
      </c>
      <c r="I171" s="688">
        <f>'4C2 Open-burning '!AH163</f>
        <v>0.10103929848692009</v>
      </c>
      <c r="J171" s="93">
        <f>'4D Wastewater treatment and dis'!AV200</f>
        <v>173.44326090016418</v>
      </c>
      <c r="K171" s="3">
        <f>'4D Wastewater treatment and dis'!AW200</f>
        <v>3.1305524751492158</v>
      </c>
      <c r="L171" s="465">
        <f t="shared" si="140"/>
        <v>14304.487813215472</v>
      </c>
      <c r="M171" s="688">
        <f t="shared" si="131"/>
        <v>81.307817134186593</v>
      </c>
      <c r="N171" s="465">
        <f t="shared" si="132"/>
        <v>766.61656155090213</v>
      </c>
      <c r="O171" s="464">
        <f t="shared" si="133"/>
        <v>205.3038143886219</v>
      </c>
      <c r="P171" s="465">
        <f t="shared" si="134"/>
        <v>4612.7797461997052</v>
      </c>
      <c r="Q171" s="465">
        <f t="shared" si="135"/>
        <v>14304.487813215472</v>
      </c>
      <c r="R171" s="467">
        <f t="shared" si="136"/>
        <v>847.92437868508875</v>
      </c>
      <c r="S171" s="464">
        <f t="shared" si="137"/>
        <v>205.3038143886219</v>
      </c>
      <c r="T171" s="465">
        <f t="shared" si="138"/>
        <v>4612.7797461997052</v>
      </c>
      <c r="U171" s="465">
        <f t="shared" si="139"/>
        <v>19970.495752488889</v>
      </c>
    </row>
    <row r="172" spans="1:21">
      <c r="A172">
        <f>'Input data'!A125</f>
        <v>2025</v>
      </c>
      <c r="C172" s="266">
        <f>'4A SWD Case 3'!BG95</f>
        <v>655.7319165007076</v>
      </c>
      <c r="D172" s="3">
        <f>'4B Biological treatment '!T225</f>
        <v>3.8932955013772927</v>
      </c>
      <c r="E172" s="152">
        <f>'4B Biological treatment '!U225</f>
        <v>19.466477506886463</v>
      </c>
      <c r="F172" s="152">
        <f>'4B Biological treatment '!W225</f>
        <v>1.1679886504131876</v>
      </c>
      <c r="G172" s="688">
        <f>'4C2 Open-burning '!R164</f>
        <v>20.283486456074922</v>
      </c>
      <c r="H172" s="688">
        <f>'4C2 Open-burning '!Z164</f>
        <v>6.8247722059740834</v>
      </c>
      <c r="I172" s="688">
        <f>'4C2 Open-burning '!AH164</f>
        <v>9.5012348041607686E-2</v>
      </c>
      <c r="J172" s="93">
        <f>'4D Wastewater treatment and dis'!AV201</f>
        <v>179.68429081250378</v>
      </c>
      <c r="K172" s="3">
        <f>'4D Wastewater treatment and dis'!AW201</f>
        <v>3.166598194351784</v>
      </c>
      <c r="L172" s="465">
        <f t="shared" si="140"/>
        <v>13770.37024651486</v>
      </c>
      <c r="M172" s="688">
        <f t="shared" si="131"/>
        <v>81.759205528923147</v>
      </c>
      <c r="N172" s="465">
        <f t="shared" si="132"/>
        <v>770.87250927270384</v>
      </c>
      <c r="O172" s="464">
        <f t="shared" si="133"/>
        <v>193.05753067442905</v>
      </c>
      <c r="P172" s="465">
        <f t="shared" si="134"/>
        <v>4755.015547311632</v>
      </c>
      <c r="Q172" s="465">
        <f t="shared" si="135"/>
        <v>13770.37024651486</v>
      </c>
      <c r="R172" s="467">
        <f t="shared" si="136"/>
        <v>852.63171480162703</v>
      </c>
      <c r="S172" s="464">
        <f t="shared" si="137"/>
        <v>193.05753067442905</v>
      </c>
      <c r="T172" s="465">
        <f t="shared" si="138"/>
        <v>4755.015547311632</v>
      </c>
      <c r="U172" s="465">
        <f t="shared" si="139"/>
        <v>19571.075039302548</v>
      </c>
    </row>
    <row r="173" spans="1:21">
      <c r="A173">
        <f>'Input data'!A126</f>
        <v>2026</v>
      </c>
      <c r="C173" s="266">
        <f>'4A SWD Case 3'!BG96</f>
        <v>631.26430494477165</v>
      </c>
      <c r="D173" s="3">
        <f>'4B Biological treatment '!T226</f>
        <v>3.9159299421212768</v>
      </c>
      <c r="E173" s="152">
        <f>'4B Biological treatment '!U226</f>
        <v>19.579649710606382</v>
      </c>
      <c r="F173" s="152">
        <f>'4B Biological treatment '!W226</f>
        <v>1.1747789826363828</v>
      </c>
      <c r="G173" s="688">
        <f>'4C2 Open-burning '!R165</f>
        <v>18.985188117273655</v>
      </c>
      <c r="H173" s="688">
        <f>'4C2 Open-burning '!Z165</f>
        <v>6.3879345628548228</v>
      </c>
      <c r="I173" s="688">
        <f>'4C2 Open-burning '!AH165</f>
        <v>8.8930830749442052E-2</v>
      </c>
      <c r="J173" s="93">
        <f>'4D Wastewater treatment and dis'!AV202</f>
        <v>185.73930530907452</v>
      </c>
      <c r="K173" s="3">
        <f>'4D Wastewater treatment and dis'!AW202</f>
        <v>3.1977779387807019</v>
      </c>
      <c r="L173" s="465">
        <f t="shared" si="140"/>
        <v>13256.550403840205</v>
      </c>
      <c r="M173" s="688">
        <f t="shared" si="131"/>
        <v>82.234528784546811</v>
      </c>
      <c r="N173" s="465">
        <f t="shared" si="132"/>
        <v>775.35412854001265</v>
      </c>
      <c r="O173" s="464">
        <f t="shared" si="133"/>
        <v>180.70037146955198</v>
      </c>
      <c r="P173" s="465">
        <f t="shared" si="134"/>
        <v>4891.8365725125823</v>
      </c>
      <c r="Q173" s="465">
        <f t="shared" si="135"/>
        <v>13256.550403840205</v>
      </c>
      <c r="R173" s="467">
        <f t="shared" si="136"/>
        <v>857.58865732455945</v>
      </c>
      <c r="S173" s="464">
        <f t="shared" si="137"/>
        <v>180.70037146955198</v>
      </c>
      <c r="T173" s="465">
        <f t="shared" si="138"/>
        <v>4891.8365725125823</v>
      </c>
      <c r="U173" s="465">
        <f t="shared" si="139"/>
        <v>19186.676005146895</v>
      </c>
    </row>
    <row r="174" spans="1:21">
      <c r="A174">
        <f>'Input data'!A127</f>
        <v>2027</v>
      </c>
      <c r="C174" s="266">
        <f>'4A SWD Case 3'!BG97</f>
        <v>607.68528159022173</v>
      </c>
      <c r="D174" s="3">
        <f>'4B Biological treatment '!T227</f>
        <v>3.9404518020911365</v>
      </c>
      <c r="E174" s="152">
        <f>'4B Biological treatment '!U227</f>
        <v>19.702259010455681</v>
      </c>
      <c r="F174" s="152">
        <f>'4B Biological treatment '!W227</f>
        <v>1.1821355406273408</v>
      </c>
      <c r="G174" s="688">
        <f>'4C2 Open-burning '!R166</f>
        <v>17.661577035208051</v>
      </c>
      <c r="H174" s="688">
        <f>'4C2 Open-burning '!Z166</f>
        <v>5.9425799565861794</v>
      </c>
      <c r="I174" s="688">
        <f>'4C2 Open-burning '!AH166</f>
        <v>8.2730742955201886E-2</v>
      </c>
      <c r="J174" s="93">
        <f>'4D Wastewater treatment and dis'!AV203</f>
        <v>191.89613972825521</v>
      </c>
      <c r="K174" s="3">
        <f>'4D Wastewater treatment and dis'!AW203</f>
        <v>3.2292646929415123</v>
      </c>
      <c r="L174" s="465">
        <f t="shared" si="140"/>
        <v>12761.390913394656</v>
      </c>
      <c r="M174" s="688">
        <f t="shared" si="131"/>
        <v>82.749487843913869</v>
      </c>
      <c r="N174" s="465">
        <f t="shared" si="132"/>
        <v>780.20945681404487</v>
      </c>
      <c r="O174" s="464">
        <f t="shared" si="133"/>
        <v>168.10228643963038</v>
      </c>
      <c r="P174" s="465">
        <f t="shared" si="134"/>
        <v>5030.8909891052281</v>
      </c>
      <c r="Q174" s="465">
        <f t="shared" si="135"/>
        <v>12761.390913394656</v>
      </c>
      <c r="R174" s="467">
        <f t="shared" si="136"/>
        <v>862.95894465795868</v>
      </c>
      <c r="S174" s="464">
        <f t="shared" si="137"/>
        <v>168.10228643963038</v>
      </c>
      <c r="T174" s="465">
        <f t="shared" si="138"/>
        <v>5030.8909891052281</v>
      </c>
      <c r="U174" s="465">
        <f t="shared" si="139"/>
        <v>18823.343133597475</v>
      </c>
    </row>
    <row r="175" spans="1:21">
      <c r="A175">
        <f>'Input data'!A128</f>
        <v>2028</v>
      </c>
      <c r="C175" s="266">
        <f>'4A SWD Case 3'!BG98</f>
        <v>584.92429039495687</v>
      </c>
      <c r="D175" s="3">
        <f>'4B Biological treatment '!T228</f>
        <v>3.9647640209806774</v>
      </c>
      <c r="E175" s="152">
        <f>'4B Biological treatment '!U228</f>
        <v>19.823820104903387</v>
      </c>
      <c r="F175" s="152">
        <f>'4B Biological treatment '!W228</f>
        <v>1.1894292062942031</v>
      </c>
      <c r="G175" s="688">
        <f>'4C2 Open-burning '!R167</f>
        <v>16.311739327952854</v>
      </c>
      <c r="H175" s="688">
        <f>'4C2 Open-burning '!Z167</f>
        <v>5.48840089387914</v>
      </c>
      <c r="I175" s="688">
        <f>'4C2 Open-burning '!AH167</f>
        <v>7.6407803833313151E-2</v>
      </c>
      <c r="J175" s="93">
        <f>'4D Wastewater treatment and dis'!AV204</f>
        <v>198.15621215016739</v>
      </c>
      <c r="K175" s="3">
        <f>'4D Wastewater treatment and dis'!AW204</f>
        <v>3.2610614797895683</v>
      </c>
      <c r="L175" s="465">
        <f t="shared" si="140"/>
        <v>12283.410098294094</v>
      </c>
      <c r="M175" s="688">
        <f t="shared" si="131"/>
        <v>83.260044440594228</v>
      </c>
      <c r="N175" s="465">
        <f t="shared" si="132"/>
        <v>785.02327615417403</v>
      </c>
      <c r="O175" s="464">
        <f t="shared" si="133"/>
        <v>155.25457728774188</v>
      </c>
      <c r="P175" s="465">
        <f t="shared" si="134"/>
        <v>5172.2095138882814</v>
      </c>
      <c r="Q175" s="465">
        <f t="shared" si="135"/>
        <v>12283.410098294094</v>
      </c>
      <c r="R175" s="467">
        <f t="shared" si="136"/>
        <v>868.28332059476827</v>
      </c>
      <c r="S175" s="464">
        <f t="shared" si="137"/>
        <v>155.25457728774188</v>
      </c>
      <c r="T175" s="465">
        <f t="shared" si="138"/>
        <v>5172.2095138882814</v>
      </c>
      <c r="U175" s="465">
        <f t="shared" si="139"/>
        <v>18479.157510064884</v>
      </c>
    </row>
    <row r="176" spans="1:21">
      <c r="A176">
        <f>'Input data'!A129</f>
        <v>2029</v>
      </c>
      <c r="C176" s="266">
        <f>'4A SWD Case 3'!BG99</f>
        <v>562.91371408819839</v>
      </c>
      <c r="D176" s="3">
        <f>'4B Biological treatment '!T229</f>
        <v>3.9908976664379656</v>
      </c>
      <c r="E176" s="152">
        <f>'4B Biological treatment '!U229</f>
        <v>19.954488332189825</v>
      </c>
      <c r="F176" s="152">
        <f>'4B Biological treatment '!W229</f>
        <v>1.1972692999313896</v>
      </c>
      <c r="G176" s="688">
        <f>'4C2 Open-burning '!R168</f>
        <v>14.93472003386634</v>
      </c>
      <c r="H176" s="688">
        <f>'4C2 Open-burning '!Z168</f>
        <v>5.0250760593777697</v>
      </c>
      <c r="I176" s="688">
        <f>'4C2 Open-burning '!AH168</f>
        <v>6.9957540131701218E-2</v>
      </c>
      <c r="J176" s="93">
        <f>'4D Wastewater treatment and dis'!AV205</f>
        <v>204.52095870933701</v>
      </c>
      <c r="K176" s="3">
        <f>'4D Wastewater treatment and dis'!AW205</f>
        <v>3.2931713520456056</v>
      </c>
      <c r="L176" s="465">
        <f t="shared" si="140"/>
        <v>11821.187995852166</v>
      </c>
      <c r="M176" s="688">
        <f t="shared" si="131"/>
        <v>83.808850995197275</v>
      </c>
      <c r="N176" s="465">
        <f t="shared" si="132"/>
        <v>790.19773795471713</v>
      </c>
      <c r="O176" s="464">
        <f t="shared" si="133"/>
        <v>142.1481547216269</v>
      </c>
      <c r="P176" s="465">
        <f t="shared" si="134"/>
        <v>5315.8232520302154</v>
      </c>
      <c r="Q176" s="465">
        <f t="shared" si="135"/>
        <v>11821.187995852166</v>
      </c>
      <c r="R176" s="467">
        <f t="shared" si="136"/>
        <v>874.00658894991443</v>
      </c>
      <c r="S176" s="464">
        <f t="shared" si="137"/>
        <v>142.1481547216269</v>
      </c>
      <c r="T176" s="465">
        <f t="shared" si="138"/>
        <v>5315.8232520302154</v>
      </c>
      <c r="U176" s="465">
        <f t="shared" si="139"/>
        <v>18153.16599155392</v>
      </c>
    </row>
    <row r="177" spans="1:21">
      <c r="A177">
        <f>'Input data'!A130</f>
        <v>2030</v>
      </c>
      <c r="C177" s="266">
        <f>'4A SWD Case 3'!BG100</f>
        <v>541.58871226746157</v>
      </c>
      <c r="D177" s="3">
        <f>'4B Biological treatment '!T230</f>
        <v>4.0170324438275902</v>
      </c>
      <c r="E177" s="152">
        <f>'4B Biological treatment '!U230</f>
        <v>20.085162219137949</v>
      </c>
      <c r="F177" s="152">
        <f>'4B Biological treatment '!W230</f>
        <v>1.205109733148277</v>
      </c>
      <c r="G177" s="688">
        <f>'4C2 Open-burning '!R169</f>
        <v>13.529520713203713</v>
      </c>
      <c r="H177" s="688">
        <f>'4C2 Open-burning '!Z169</f>
        <v>4.5522695086755505</v>
      </c>
      <c r="I177" s="688">
        <f>'4C2 Open-burning '!AH169</f>
        <v>6.3375274937216314E-2</v>
      </c>
      <c r="J177" s="93">
        <f>'4D Wastewater treatment and dis'!AV206</f>
        <v>210.99183381275145</v>
      </c>
      <c r="K177" s="3">
        <f>'4D Wastewater treatment and dis'!AW206</f>
        <v>3.3255973924888065</v>
      </c>
      <c r="L177" s="465">
        <f t="shared" si="140"/>
        <v>11373.362957616693</v>
      </c>
      <c r="M177" s="688">
        <f t="shared" si="131"/>
        <v>84.357681320379399</v>
      </c>
      <c r="N177" s="465">
        <f t="shared" si="132"/>
        <v>795.37242387786273</v>
      </c>
      <c r="O177" s="464">
        <f t="shared" si="133"/>
        <v>128.77351562592733</v>
      </c>
      <c r="P177" s="465">
        <f t="shared" si="134"/>
        <v>5461.7637017393099</v>
      </c>
      <c r="Q177" s="465">
        <f t="shared" si="135"/>
        <v>11373.362957616693</v>
      </c>
      <c r="R177" s="467">
        <f t="shared" si="136"/>
        <v>879.73010519824209</v>
      </c>
      <c r="S177" s="464">
        <f t="shared" si="137"/>
        <v>128.77351562592733</v>
      </c>
      <c r="T177" s="465">
        <f t="shared" si="138"/>
        <v>5461.7637017393099</v>
      </c>
      <c r="U177" s="465">
        <f t="shared" si="139"/>
        <v>17843.630280180172</v>
      </c>
    </row>
    <row r="178" spans="1:21">
      <c r="A178">
        <f>'Input data'!A131</f>
        <v>2031</v>
      </c>
      <c r="C178" s="266">
        <f>'4A SWD Case 3'!BG101</f>
        <v>520.88706620734354</v>
      </c>
      <c r="D178" s="3">
        <f>'4B Biological treatment '!T231</f>
        <v>4.0476111582222689</v>
      </c>
      <c r="E178" s="152">
        <f>'4B Biological treatment '!U231</f>
        <v>20.238055791111343</v>
      </c>
      <c r="F178" s="152">
        <f>'4B Biological treatment '!W231</f>
        <v>1.2142833474666805</v>
      </c>
      <c r="G178" s="688">
        <f>'4C2 Open-burning '!R170</f>
        <v>11.932120220532866</v>
      </c>
      <c r="H178" s="688">
        <f>'4C2 Open-burning '!Z170</f>
        <v>4.014793147903057</v>
      </c>
      <c r="I178" s="688">
        <f>'4C2 Open-burning '!AH170</f>
        <v>5.5892696836052552E-2</v>
      </c>
      <c r="J178" s="93">
        <f>'4D Wastewater treatment and dis'!AV207</f>
        <v>212.79249544373798</v>
      </c>
      <c r="K178" s="3">
        <f>'4D Wastewater treatment and dis'!AW207</f>
        <v>3.3539789441183268</v>
      </c>
      <c r="L178" s="465">
        <f t="shared" si="140"/>
        <v>10938.628390354213</v>
      </c>
      <c r="M178" s="688">
        <f t="shared" si="131"/>
        <v>84.999834322667652</v>
      </c>
      <c r="N178" s="465">
        <f t="shared" si="132"/>
        <v>801.42700932800915</v>
      </c>
      <c r="O178" s="464">
        <f t="shared" si="133"/>
        <v>113.56951234567336</v>
      </c>
      <c r="P178" s="465">
        <f t="shared" si="134"/>
        <v>5508.3758769951792</v>
      </c>
      <c r="Q178" s="465">
        <f t="shared" si="135"/>
        <v>10938.628390354213</v>
      </c>
      <c r="R178" s="467">
        <f t="shared" si="136"/>
        <v>886.4268436506768</v>
      </c>
      <c r="S178" s="464">
        <f t="shared" si="137"/>
        <v>113.56951234567336</v>
      </c>
      <c r="T178" s="465">
        <f t="shared" si="138"/>
        <v>5508.3758769951792</v>
      </c>
      <c r="U178" s="465">
        <f t="shared" si="139"/>
        <v>17447.000623345742</v>
      </c>
    </row>
    <row r="179" spans="1:21">
      <c r="A179">
        <f>'Input data'!A132</f>
        <v>2032</v>
      </c>
      <c r="C179" s="266">
        <f>'4A SWD Case 3'!BG102</f>
        <v>500.62346015391864</v>
      </c>
      <c r="D179" s="3">
        <f>'4B Biological treatment '!T232</f>
        <v>4.0799097198682102</v>
      </c>
      <c r="E179" s="152">
        <f>'4B Biological treatment '!U232</f>
        <v>20.399548599341045</v>
      </c>
      <c r="F179" s="152">
        <f>'4B Biological treatment '!W232</f>
        <v>1.2239729159604629</v>
      </c>
      <c r="G179" s="688">
        <f>'4C2 Open-burning '!R171</f>
        <v>10.344645425665796</v>
      </c>
      <c r="H179" s="688">
        <f>'4C2 Open-burning '!Z171</f>
        <v>3.4806564805625984</v>
      </c>
      <c r="I179" s="688">
        <f>'4C2 Open-burning '!AH171</f>
        <v>4.8456612904238333E-2</v>
      </c>
      <c r="J179" s="93">
        <f>'4D Wastewater treatment and dis'!AV208</f>
        <v>214.60852441027842</v>
      </c>
      <c r="K179" s="3">
        <f>'4D Wastewater treatment and dis'!AW208</f>
        <v>3.3826027116200144</v>
      </c>
      <c r="L179" s="465">
        <f t="shared" si="140"/>
        <v>10513.092663232292</v>
      </c>
      <c r="M179" s="688">
        <f t="shared" si="131"/>
        <v>85.678104117232408</v>
      </c>
      <c r="N179" s="465">
        <f t="shared" si="132"/>
        <v>807.82212453390548</v>
      </c>
      <c r="O179" s="464">
        <f t="shared" si="133"/>
        <v>98.459981517794233</v>
      </c>
      <c r="P179" s="465">
        <f t="shared" si="134"/>
        <v>5555.3858532180511</v>
      </c>
      <c r="Q179" s="465">
        <f t="shared" si="135"/>
        <v>10513.092663232292</v>
      </c>
      <c r="R179" s="467">
        <f t="shared" si="136"/>
        <v>893.50022865113783</v>
      </c>
      <c r="S179" s="464">
        <f t="shared" si="137"/>
        <v>98.459981517794233</v>
      </c>
      <c r="T179" s="465">
        <f t="shared" si="138"/>
        <v>5555.3858532180511</v>
      </c>
      <c r="U179" s="465">
        <f t="shared" si="139"/>
        <v>17060.438726619272</v>
      </c>
    </row>
    <row r="180" spans="1:21">
      <c r="A180">
        <f>'Input data'!A133</f>
        <v>2033</v>
      </c>
      <c r="C180" s="266">
        <f>'4A SWD Case 3'!BG103</f>
        <v>480.7742289398293</v>
      </c>
      <c r="D180" s="3">
        <f>'4B Biological treatment '!T233</f>
        <v>4.1138012633724212</v>
      </c>
      <c r="E180" s="152">
        <f>'4B Biological treatment '!U233</f>
        <v>20.569006316862104</v>
      </c>
      <c r="F180" s="152">
        <f>'4B Biological treatment '!W233</f>
        <v>1.2341403790117262</v>
      </c>
      <c r="G180" s="688">
        <f>'4C2 Open-burning '!R172</f>
        <v>10.313981067569168</v>
      </c>
      <c r="H180" s="688">
        <f>'4C2 Open-burning '!Z172</f>
        <v>3.4703388628638314</v>
      </c>
      <c r="I180" s="688">
        <f>'4C2 Open-burning '!AH172</f>
        <v>4.8312974251669485E-2</v>
      </c>
      <c r="J180" s="93">
        <f>'4D Wastewater treatment and dis'!AV209</f>
        <v>216.44005186138909</v>
      </c>
      <c r="K180" s="3">
        <f>'4D Wastewater treatment and dis'!AW209</f>
        <v>3.4114707621299263</v>
      </c>
      <c r="L180" s="465">
        <f t="shared" si="140"/>
        <v>10096.258807736416</v>
      </c>
      <c r="M180" s="688">
        <f t="shared" si="131"/>
        <v>86.389826530820841</v>
      </c>
      <c r="N180" s="465">
        <f t="shared" si="132"/>
        <v>814.53265014773933</v>
      </c>
      <c r="O180" s="464">
        <f t="shared" si="133"/>
        <v>98.168119205727166</v>
      </c>
      <c r="P180" s="465">
        <f t="shared" si="134"/>
        <v>5602.7970253494477</v>
      </c>
      <c r="Q180" s="465">
        <f t="shared" si="135"/>
        <v>10096.258807736416</v>
      </c>
      <c r="R180" s="467">
        <f t="shared" si="136"/>
        <v>900.9224766785602</v>
      </c>
      <c r="S180" s="464">
        <f t="shared" si="137"/>
        <v>98.168119205727166</v>
      </c>
      <c r="T180" s="465">
        <f t="shared" si="138"/>
        <v>5602.7970253494477</v>
      </c>
      <c r="U180" s="465">
        <f t="shared" si="139"/>
        <v>16698.146428970154</v>
      </c>
    </row>
    <row r="181" spans="1:21">
      <c r="A181">
        <f>'Input data'!A134</f>
        <v>2034</v>
      </c>
      <c r="C181" s="266">
        <f>'4A SWD Case 3'!BG104</f>
        <v>461.90464604779385</v>
      </c>
      <c r="D181" s="3">
        <f>'4B Biological treatment '!T234</f>
        <v>4.1521133747805568</v>
      </c>
      <c r="E181" s="152">
        <f>'4B Biological treatment '!U234</f>
        <v>20.760566873902782</v>
      </c>
      <c r="F181" s="152">
        <f>'4B Biological treatment '!W234</f>
        <v>1.2456340124341669</v>
      </c>
      <c r="G181" s="688">
        <f>'4C2 Open-burning '!R173</f>
        <v>10.283755160967955</v>
      </c>
      <c r="H181" s="688">
        <f>'4C2 Open-burning '!Z173</f>
        <v>3.4601687706699158</v>
      </c>
      <c r="I181" s="688">
        <f>'4C2 Open-burning '!AH173</f>
        <v>4.8171389403123509E-2</v>
      </c>
      <c r="J181" s="93">
        <f>'4D Wastewater treatment and dis'!AV210</f>
        <v>218.28721006534801</v>
      </c>
      <c r="K181" s="3">
        <f>'4D Wastewater treatment and dis'!AW210</f>
        <v>3.4405851804256198</v>
      </c>
      <c r="L181" s="465">
        <f t="shared" si="140"/>
        <v>9699.9975670036711</v>
      </c>
      <c r="M181" s="688">
        <f t="shared" si="131"/>
        <v>87.194380870391697</v>
      </c>
      <c r="N181" s="465">
        <f t="shared" si="132"/>
        <v>822.11844820655017</v>
      </c>
      <c r="O181" s="464">
        <f t="shared" si="133"/>
        <v>97.880430060004471</v>
      </c>
      <c r="P181" s="465">
        <f t="shared" si="134"/>
        <v>5650.6128173042498</v>
      </c>
      <c r="Q181" s="465">
        <f t="shared" si="135"/>
        <v>9699.9975670036711</v>
      </c>
      <c r="R181" s="467">
        <f t="shared" si="136"/>
        <v>909.31282907694185</v>
      </c>
      <c r="S181" s="464">
        <f t="shared" si="137"/>
        <v>97.880430060004471</v>
      </c>
      <c r="T181" s="465">
        <f t="shared" si="138"/>
        <v>5650.6128173042498</v>
      </c>
      <c r="U181" s="465">
        <f t="shared" si="139"/>
        <v>16357.803643444866</v>
      </c>
    </row>
    <row r="182" spans="1:21">
      <c r="A182">
        <f>'Input data'!A135</f>
        <v>2035</v>
      </c>
      <c r="C182" s="266">
        <f>'4A SWD Case 3'!BG105</f>
        <v>443.96694960138393</v>
      </c>
      <c r="D182" s="3">
        <f>'4B Biological treatment '!T235</f>
        <v>4.1886470337454922</v>
      </c>
      <c r="E182" s="152">
        <f>'4B Biological treatment '!U235</f>
        <v>20.943235168727462</v>
      </c>
      <c r="F182" s="152">
        <f>'4B Biological treatment '!W235</f>
        <v>1.2565941101236477</v>
      </c>
      <c r="G182" s="688">
        <f>'4C2 Open-burning '!R174</f>
        <v>10.253959437125518</v>
      </c>
      <c r="H182" s="688">
        <f>'4C2 Open-burning '!Z174</f>
        <v>3.450143421804122</v>
      </c>
      <c r="I182" s="688">
        <f>'4C2 Open-burning '!AH174</f>
        <v>4.8031819626004571E-2</v>
      </c>
      <c r="J182" s="93">
        <f>'4D Wastewater treatment and dis'!AV211</f>
        <v>220.15013241924632</v>
      </c>
      <c r="K182" s="3">
        <f>'4D Wastewater treatment and dis'!AW211</f>
        <v>3.4699480690767106</v>
      </c>
      <c r="L182" s="465">
        <f t="shared" si="140"/>
        <v>9323.3059416290635</v>
      </c>
      <c r="M182" s="688">
        <f t="shared" si="131"/>
        <v>87.96158770865533</v>
      </c>
      <c r="N182" s="465">
        <f t="shared" si="132"/>
        <v>829.35211268160742</v>
      </c>
      <c r="O182" s="464">
        <f t="shared" si="133"/>
        <v>97.596835379073497</v>
      </c>
      <c r="P182" s="465">
        <f t="shared" si="134"/>
        <v>5698.8366822179532</v>
      </c>
      <c r="Q182" s="465">
        <f t="shared" si="135"/>
        <v>9323.3059416290635</v>
      </c>
      <c r="R182" s="467">
        <f t="shared" si="136"/>
        <v>917.31370039026274</v>
      </c>
      <c r="S182" s="464">
        <f t="shared" si="137"/>
        <v>97.596835379073497</v>
      </c>
      <c r="T182" s="465">
        <f t="shared" si="138"/>
        <v>5698.8366822179532</v>
      </c>
      <c r="U182" s="465">
        <f t="shared" si="139"/>
        <v>16037.053159616353</v>
      </c>
    </row>
    <row r="183" spans="1:21">
      <c r="A183">
        <f>'Input data'!A136</f>
        <v>2036</v>
      </c>
      <c r="C183" s="266">
        <f>'4A SWD Case 3'!BG106</f>
        <v>426.9157050017991</v>
      </c>
      <c r="D183" s="3">
        <f>'4B Biological treatment '!T236</f>
        <v>4.2276068844753834</v>
      </c>
      <c r="E183" s="152">
        <f>'4B Biological treatment '!U236</f>
        <v>21.138034422376915</v>
      </c>
      <c r="F183" s="152">
        <f>'4B Biological treatment '!W236</f>
        <v>1.2682820653426148</v>
      </c>
      <c r="G183" s="688">
        <f>'4C2 Open-burning '!R175</f>
        <v>10.228720631598184</v>
      </c>
      <c r="H183" s="688">
        <f>'4C2 Open-burning '!Z175</f>
        <v>3.4416513364396093</v>
      </c>
      <c r="I183" s="688">
        <f>'4C2 Open-burning '!AH175</f>
        <v>4.7913595464684461E-2</v>
      </c>
      <c r="J183" s="93">
        <f>'4D Wastewater treatment and dis'!AV212</f>
        <v>221.76188597912451</v>
      </c>
      <c r="K183" s="3">
        <f>'4D Wastewater treatment and dis'!AW212</f>
        <v>3.4953521017314642</v>
      </c>
      <c r="L183" s="465">
        <f t="shared" si="140"/>
        <v>8965.2298050377813</v>
      </c>
      <c r="M183" s="688">
        <f t="shared" si="131"/>
        <v>88.779744573983052</v>
      </c>
      <c r="N183" s="465">
        <f t="shared" si="132"/>
        <v>837.06616312612573</v>
      </c>
      <c r="O183" s="464">
        <f t="shared" si="133"/>
        <v>97.356613290882166</v>
      </c>
      <c r="P183" s="465">
        <f t="shared" si="134"/>
        <v>5740.5587570983689</v>
      </c>
      <c r="Q183" s="465">
        <f t="shared" si="135"/>
        <v>8965.2298050377813</v>
      </c>
      <c r="R183" s="467">
        <f t="shared" si="136"/>
        <v>925.8459077001088</v>
      </c>
      <c r="S183" s="464">
        <f t="shared" si="137"/>
        <v>97.356613290882166</v>
      </c>
      <c r="T183" s="465">
        <f t="shared" si="138"/>
        <v>5740.5587570983689</v>
      </c>
      <c r="U183" s="465">
        <f t="shared" si="139"/>
        <v>15728.991083127141</v>
      </c>
    </row>
    <row r="184" spans="1:21">
      <c r="A184">
        <f>'Input data'!A137</f>
        <v>2037</v>
      </c>
      <c r="C184" s="266">
        <f>'4A SWD Case 3'!BG107</f>
        <v>410.70575985554854</v>
      </c>
      <c r="D184" s="3">
        <f>'4B Biological treatment '!T237</f>
        <v>4.2706630289885368</v>
      </c>
      <c r="E184" s="152">
        <f>'4B Biological treatment '!U237</f>
        <v>21.353315144942684</v>
      </c>
      <c r="F184" s="152">
        <f>'4B Biological treatment '!W237</f>
        <v>1.2811989086965609</v>
      </c>
      <c r="G184" s="688">
        <f>'4C2 Open-burning '!R176</f>
        <v>10.203787853753196</v>
      </c>
      <c r="H184" s="688">
        <f>'4C2 Open-burning '!Z176</f>
        <v>3.4332622200210539</v>
      </c>
      <c r="I184" s="688">
        <f>'4C2 Open-burning '!AH176</f>
        <v>4.7796804804884317E-2</v>
      </c>
      <c r="J184" s="93">
        <f>'4D Wastewater treatment and dis'!AV213</f>
        <v>223.38543943895829</v>
      </c>
      <c r="K184" s="3">
        <f>'4D Wastewater treatment and dis'!AW213</f>
        <v>3.5209421212835057</v>
      </c>
      <c r="L184" s="465">
        <f t="shared" si="140"/>
        <v>8624.8209569665196</v>
      </c>
      <c r="M184" s="688">
        <f t="shared" si="131"/>
        <v>89.683923608759272</v>
      </c>
      <c r="N184" s="465">
        <f t="shared" si="132"/>
        <v>845.59127973973023</v>
      </c>
      <c r="O184" s="464">
        <f t="shared" si="133"/>
        <v>97.11930396370947</v>
      </c>
      <c r="P184" s="465">
        <f t="shared" si="134"/>
        <v>5782.5862858160108</v>
      </c>
      <c r="Q184" s="465">
        <f t="shared" si="135"/>
        <v>8624.8209569665196</v>
      </c>
      <c r="R184" s="467">
        <f t="shared" si="136"/>
        <v>935.27520334848953</v>
      </c>
      <c r="S184" s="464">
        <f t="shared" si="137"/>
        <v>97.11930396370947</v>
      </c>
      <c r="T184" s="465">
        <f t="shared" si="138"/>
        <v>5782.5862858160108</v>
      </c>
      <c r="U184" s="465">
        <f t="shared" si="139"/>
        <v>15439.80175009473</v>
      </c>
    </row>
    <row r="185" spans="1:21">
      <c r="A185">
        <f>'Input data'!A138</f>
        <v>2038</v>
      </c>
      <c r="C185" s="266">
        <f>'4A SWD Case 3'!BG108</f>
        <v>395.29611466592877</v>
      </c>
      <c r="D185" s="3">
        <f>'4B Biological treatment '!T238</f>
        <v>4.31153335177624</v>
      </c>
      <c r="E185" s="152">
        <f>'4B Biological treatment '!U238</f>
        <v>21.557666758881197</v>
      </c>
      <c r="F185" s="152">
        <f>'4B Biological treatment '!W238</f>
        <v>1.293460005532872</v>
      </c>
      <c r="G185" s="688">
        <f>'4C2 Open-burning '!R177</f>
        <v>10.179156222495859</v>
      </c>
      <c r="H185" s="688">
        <f>'4C2 Open-burning '!Z177</f>
        <v>3.4249744302095286</v>
      </c>
      <c r="I185" s="688">
        <f>'4C2 Open-burning '!AH177</f>
        <v>4.7681424782474335E-2</v>
      </c>
      <c r="J185" s="93">
        <f>'4D Wastewater treatment and dis'!AV214</f>
        <v>225.02087918766139</v>
      </c>
      <c r="K185" s="3">
        <f>'4D Wastewater treatment and dis'!AW214</f>
        <v>3.5467194893720086</v>
      </c>
      <c r="L185" s="465">
        <f t="shared" si="140"/>
        <v>8301.2184079845047</v>
      </c>
      <c r="M185" s="688">
        <f t="shared" si="131"/>
        <v>90.542200387301037</v>
      </c>
      <c r="N185" s="465">
        <f t="shared" si="132"/>
        <v>853.68360365169542</v>
      </c>
      <c r="O185" s="464">
        <f t="shared" si="133"/>
        <v>96.88486093946301</v>
      </c>
      <c r="P185" s="465">
        <f t="shared" si="134"/>
        <v>5824.9215046462123</v>
      </c>
      <c r="Q185" s="465">
        <f t="shared" si="135"/>
        <v>8301.2184079845047</v>
      </c>
      <c r="R185" s="467">
        <f t="shared" si="136"/>
        <v>944.22580403899644</v>
      </c>
      <c r="S185" s="464">
        <f t="shared" si="137"/>
        <v>96.88486093946301</v>
      </c>
      <c r="T185" s="465">
        <f t="shared" si="138"/>
        <v>5824.9215046462123</v>
      </c>
      <c r="U185" s="465">
        <f t="shared" si="139"/>
        <v>15167.250577609177</v>
      </c>
    </row>
    <row r="186" spans="1:21">
      <c r="A186">
        <f>'Input data'!A139</f>
        <v>2039</v>
      </c>
      <c r="C186" s="266">
        <f>'4A SWD Case 3'!BG109</f>
        <v>380.64776679079387</v>
      </c>
      <c r="D186" s="3">
        <f>'4B Biological treatment '!T239</f>
        <v>4.3526766156990027</v>
      </c>
      <c r="E186" s="152">
        <f>'4B Biological treatment '!U239</f>
        <v>21.763383078495011</v>
      </c>
      <c r="F186" s="152">
        <f>'4B Biological treatment '!W239</f>
        <v>1.3058029847097008</v>
      </c>
      <c r="G186" s="688">
        <f>'4C2 Open-burning '!R178</f>
        <v>10.154820958102038</v>
      </c>
      <c r="H186" s="688">
        <f>'4C2 Open-burning '!Z178</f>
        <v>3.4167863587741936</v>
      </c>
      <c r="I186" s="688">
        <f>'4C2 Open-burning '!AH178</f>
        <v>4.7567433008166821E-2</v>
      </c>
      <c r="J186" s="93">
        <f>'4D Wastewater treatment and dis'!AV215</f>
        <v>226.66829224661399</v>
      </c>
      <c r="K186" s="3">
        <f>'4D Wastewater treatment and dis'!AW215</f>
        <v>3.5726855776049167</v>
      </c>
      <c r="L186" s="465">
        <f t="shared" si="140"/>
        <v>7993.6031026066712</v>
      </c>
      <c r="M186" s="688">
        <f t="shared" si="131"/>
        <v>91.406208929679053</v>
      </c>
      <c r="N186" s="465">
        <f t="shared" si="132"/>
        <v>861.82996990840252</v>
      </c>
      <c r="O186" s="464">
        <f t="shared" si="133"/>
        <v>96.653238724891821</v>
      </c>
      <c r="P186" s="465">
        <f t="shared" si="134"/>
        <v>5867.5666662364183</v>
      </c>
      <c r="Q186" s="465">
        <f t="shared" si="135"/>
        <v>7993.6031026066712</v>
      </c>
      <c r="R186" s="467">
        <f t="shared" si="136"/>
        <v>953.23617883808151</v>
      </c>
      <c r="S186" s="464">
        <f t="shared" si="137"/>
        <v>96.653238724891821</v>
      </c>
      <c r="T186" s="465">
        <f t="shared" si="138"/>
        <v>5867.5666662364183</v>
      </c>
      <c r="U186" s="465">
        <f t="shared" si="139"/>
        <v>14911.059186406063</v>
      </c>
    </row>
    <row r="187" spans="1:21">
      <c r="A187">
        <f>'Input data'!A140</f>
        <v>2040</v>
      </c>
      <c r="C187" s="266">
        <f>'4A SWD Case 3'!BG110</f>
        <v>366.72361327439535</v>
      </c>
      <c r="D187" s="3">
        <f>'4B Biological treatment '!T240</f>
        <v>4.3947612275784023</v>
      </c>
      <c r="E187" s="152">
        <f>'4B Biological treatment '!U240</f>
        <v>21.973806137892009</v>
      </c>
      <c r="F187" s="152">
        <f>'4B Biological treatment '!W240</f>
        <v>1.3184283682735205</v>
      </c>
      <c r="G187" s="688">
        <f>'4C2 Open-burning '!R179</f>
        <v>10.130777379596603</v>
      </c>
      <c r="H187" s="688">
        <f>'4C2 Open-burning '!Z179</f>
        <v>3.4086964307102301</v>
      </c>
      <c r="I187" s="688">
        <f>'4C2 Open-burning '!AH179</f>
        <v>4.7454807555236386E-2</v>
      </c>
      <c r="J187" s="93">
        <f>'4D Wastewater treatment and dis'!AV216</f>
        <v>228.32776627429359</v>
      </c>
      <c r="K187" s="3">
        <f>'4D Wastewater treatment and dis'!AW216</f>
        <v>3.5988417676319293</v>
      </c>
      <c r="L187" s="465">
        <f t="shared" si="140"/>
        <v>7701.1958787623025</v>
      </c>
      <c r="M187" s="688">
        <f t="shared" si="131"/>
        <v>92.289985779146448</v>
      </c>
      <c r="N187" s="465">
        <f t="shared" si="132"/>
        <v>870.1627230605236</v>
      </c>
      <c r="O187" s="464">
        <f t="shared" si="133"/>
        <v>96.424392766634725</v>
      </c>
      <c r="P187" s="465">
        <f t="shared" si="134"/>
        <v>5910.5240397260632</v>
      </c>
      <c r="Q187" s="465">
        <f t="shared" si="135"/>
        <v>7701.1958787623025</v>
      </c>
      <c r="R187" s="467">
        <f t="shared" si="136"/>
        <v>962.45270883967009</v>
      </c>
      <c r="S187" s="464">
        <f t="shared" si="137"/>
        <v>96.424392766634725</v>
      </c>
      <c r="T187" s="465">
        <f t="shared" si="138"/>
        <v>5910.5240397260632</v>
      </c>
      <c r="U187" s="465">
        <f t="shared" si="139"/>
        <v>14670.597020094669</v>
      </c>
    </row>
    <row r="188" spans="1:21">
      <c r="A188">
        <f>'Input data'!A141</f>
        <v>2041</v>
      </c>
      <c r="C188" s="266">
        <f>'4A SWD Case 3'!BG111</f>
        <v>353.48835840469752</v>
      </c>
      <c r="D188" s="3">
        <f>'4B Biological treatment '!T241</f>
        <v>4.4384449968895341</v>
      </c>
      <c r="E188" s="152">
        <f>'4B Biological treatment '!U241</f>
        <v>22.19222498444767</v>
      </c>
      <c r="F188" s="152">
        <f>'4B Biological treatment '!W241</f>
        <v>1.3315334990668601</v>
      </c>
      <c r="G188" s="688">
        <f>'4C2 Open-burning '!R180</f>
        <v>10.110594115867604</v>
      </c>
      <c r="H188" s="688">
        <f>'4C2 Open-burning '!Z180</f>
        <v>3.4019053803835608</v>
      </c>
      <c r="I188" s="688">
        <f>'4C2 Open-burning '!AH180</f>
        <v>4.7360264672670904E-2</v>
      </c>
      <c r="J188" s="93">
        <f>'4D Wastewater treatment and dis'!AV217</f>
        <v>229.74589393780369</v>
      </c>
      <c r="K188" s="3">
        <f>'4D Wastewater treatment and dis'!AW217</f>
        <v>3.6211939201999317</v>
      </c>
      <c r="L188" s="465">
        <f t="shared" si="140"/>
        <v>7423.2555264986477</v>
      </c>
      <c r="M188" s="688">
        <f t="shared" si="131"/>
        <v>93.207344934680222</v>
      </c>
      <c r="N188" s="465">
        <f t="shared" si="132"/>
        <v>878.81210938412778</v>
      </c>
      <c r="O188" s="464">
        <f t="shared" si="133"/>
        <v>96.232289152450349</v>
      </c>
      <c r="P188" s="465">
        <f t="shared" si="134"/>
        <v>5947.2338879558556</v>
      </c>
      <c r="Q188" s="465">
        <f t="shared" si="135"/>
        <v>7423.2555264986477</v>
      </c>
      <c r="R188" s="467">
        <f t="shared" si="136"/>
        <v>972.01945431880802</v>
      </c>
      <c r="S188" s="464">
        <f t="shared" si="137"/>
        <v>96.232289152450349</v>
      </c>
      <c r="T188" s="465">
        <f t="shared" si="138"/>
        <v>5947.2338879558556</v>
      </c>
      <c r="U188" s="465">
        <f t="shared" si="139"/>
        <v>14438.741157925762</v>
      </c>
    </row>
    <row r="189" spans="1:21">
      <c r="A189">
        <f>'Input data'!A142</f>
        <v>2042</v>
      </c>
      <c r="C189" s="266">
        <f>'4A SWD Case 3'!BG112</f>
        <v>340.90667835429986</v>
      </c>
      <c r="D189" s="3">
        <f>'4B Biological treatment '!T242</f>
        <v>4.4804480343218849</v>
      </c>
      <c r="E189" s="152">
        <f>'4B Biological treatment '!U242</f>
        <v>22.402240171609421</v>
      </c>
      <c r="F189" s="152">
        <f>'4B Biological treatment '!W242</f>
        <v>1.3441344102965653</v>
      </c>
      <c r="G189" s="688">
        <f>'4C2 Open-burning '!R181</f>
        <v>10.090614955764785</v>
      </c>
      <c r="H189" s="688">
        <f>'4C2 Open-burning '!Z181</f>
        <v>3.3951830046783922</v>
      </c>
      <c r="I189" s="688">
        <f>'4C2 Open-burning '!AH181</f>
        <v>4.7266677856746583E-2</v>
      </c>
      <c r="J189" s="93">
        <f>'4D Wastewater treatment and dis'!AV218</f>
        <v>231.17282949228024</v>
      </c>
      <c r="K189" s="3">
        <f>'4D Wastewater treatment and dis'!AW218</f>
        <v>3.6436849004121257</v>
      </c>
      <c r="L189" s="465">
        <f t="shared" si="140"/>
        <v>7159.0402454402974</v>
      </c>
      <c r="M189" s="688">
        <f t="shared" si="131"/>
        <v>94.089408720759579</v>
      </c>
      <c r="N189" s="465">
        <f t="shared" si="132"/>
        <v>887.12871079573313</v>
      </c>
      <c r="O189" s="464">
        <f t="shared" si="133"/>
        <v>96.042128189602451</v>
      </c>
      <c r="P189" s="465">
        <f t="shared" si="134"/>
        <v>5984.171738465644</v>
      </c>
      <c r="Q189" s="465">
        <f t="shared" si="135"/>
        <v>7159.0402454402974</v>
      </c>
      <c r="R189" s="467">
        <f t="shared" si="136"/>
        <v>981.21811951649272</v>
      </c>
      <c r="S189" s="464">
        <f t="shared" si="137"/>
        <v>96.042128189602451</v>
      </c>
      <c r="T189" s="465">
        <f t="shared" si="138"/>
        <v>5984.171738465644</v>
      </c>
      <c r="U189" s="465">
        <f t="shared" si="139"/>
        <v>14220.472231612037</v>
      </c>
    </row>
    <row r="190" spans="1:21">
      <c r="A190">
        <f>'Input data'!A143</f>
        <v>2043</v>
      </c>
      <c r="C190" s="266">
        <f>'4A SWD Case 3'!BG113</f>
        <v>328.94673327048304</v>
      </c>
      <c r="D190" s="3">
        <f>'4B Biological treatment '!T243</f>
        <v>4.5236431693786923</v>
      </c>
      <c r="E190" s="152">
        <f>'4B Biological treatment '!U243</f>
        <v>22.61821584689346</v>
      </c>
      <c r="F190" s="152">
        <f>'4B Biological treatment '!W243</f>
        <v>1.3570929508136076</v>
      </c>
      <c r="G190" s="688">
        <f>'4C2 Open-burning '!R182</f>
        <v>10.070837196069071</v>
      </c>
      <c r="H190" s="688">
        <f>'4C2 Open-burning '!Z182</f>
        <v>3.3885283940442661</v>
      </c>
      <c r="I190" s="688">
        <f>'4C2 Open-burning '!AH182</f>
        <v>4.7174034444985899E-2</v>
      </c>
      <c r="J190" s="93">
        <f>'4D Wastewater treatment and dis'!AV219</f>
        <v>232.6086276429136</v>
      </c>
      <c r="K190" s="3">
        <f>'4D Wastewater treatment and dis'!AW219</f>
        <v>3.666315570517225</v>
      </c>
      <c r="L190" s="465">
        <f t="shared" si="140"/>
        <v>6907.8813986801433</v>
      </c>
      <c r="M190" s="688">
        <f t="shared" si="131"/>
        <v>94.996506556952539</v>
      </c>
      <c r="N190" s="465">
        <f t="shared" si="132"/>
        <v>895.68134753698109</v>
      </c>
      <c r="O190" s="464">
        <f t="shared" si="133"/>
        <v>95.853884148944275</v>
      </c>
      <c r="P190" s="465">
        <f t="shared" si="134"/>
        <v>6021.3390073615255</v>
      </c>
      <c r="Q190" s="465">
        <f t="shared" si="135"/>
        <v>6907.8813986801433</v>
      </c>
      <c r="R190" s="467">
        <f t="shared" si="136"/>
        <v>990.67785409393366</v>
      </c>
      <c r="S190" s="464">
        <f t="shared" si="137"/>
        <v>95.853884148944275</v>
      </c>
      <c r="T190" s="465">
        <f t="shared" si="138"/>
        <v>6021.3390073615255</v>
      </c>
      <c r="U190" s="465">
        <f t="shared" si="139"/>
        <v>14015.752144284546</v>
      </c>
    </row>
    <row r="191" spans="1:21">
      <c r="A191">
        <f>'Input data'!A144</f>
        <v>2044</v>
      </c>
      <c r="C191" s="266">
        <f>'4A SWD Case 3'!BG114</f>
        <v>317.57823350047994</v>
      </c>
      <c r="D191" s="3">
        <f>'4B Biological treatment '!T244</f>
        <v>4.5685369018562749</v>
      </c>
      <c r="E191" s="152">
        <f>'4B Biological treatment '!U244</f>
        <v>22.842684509281369</v>
      </c>
      <c r="F191" s="152">
        <f>'4B Biological treatment '!W244</f>
        <v>1.3705610705568823</v>
      </c>
      <c r="G191" s="688">
        <f>'4C2 Open-burning '!R183</f>
        <v>10.05125818014367</v>
      </c>
      <c r="H191" s="688">
        <f>'4C2 Open-burning '!Z183</f>
        <v>3.3819406546042359</v>
      </c>
      <c r="I191" s="688">
        <f>'4C2 Open-burning '!AH183</f>
        <v>4.7082321993113047E-2</v>
      </c>
      <c r="J191" s="93">
        <f>'4D Wastewater treatment and dis'!AV220</f>
        <v>234.0533434346637</v>
      </c>
      <c r="K191" s="3">
        <f>'4D Wastewater treatment and dis'!AW220</f>
        <v>3.6890867981193103</v>
      </c>
      <c r="L191" s="465">
        <f t="shared" si="140"/>
        <v>6669.1429035100791</v>
      </c>
      <c r="M191" s="688">
        <f t="shared" si="131"/>
        <v>95.939274938981768</v>
      </c>
      <c r="N191" s="465">
        <f t="shared" si="132"/>
        <v>904.57030656754227</v>
      </c>
      <c r="O191" s="464">
        <f t="shared" si="133"/>
        <v>95.667531744697669</v>
      </c>
      <c r="P191" s="465">
        <f t="shared" si="134"/>
        <v>6058.7371195449232</v>
      </c>
      <c r="Q191" s="465">
        <f t="shared" si="135"/>
        <v>6669.1429035100791</v>
      </c>
      <c r="R191" s="467">
        <f t="shared" si="136"/>
        <v>1000.509581506524</v>
      </c>
      <c r="S191" s="464">
        <f t="shared" si="137"/>
        <v>95.667531744697669</v>
      </c>
      <c r="T191" s="465">
        <f t="shared" si="138"/>
        <v>6058.7371195449232</v>
      </c>
      <c r="U191" s="465">
        <f t="shared" si="139"/>
        <v>13824.057136306224</v>
      </c>
    </row>
    <row r="192" spans="1:21">
      <c r="A192">
        <f>'Input data'!A145</f>
        <v>2045</v>
      </c>
      <c r="C192" s="266">
        <f>'4A SWD Case 3'!BG115</f>
        <v>306.77236417905993</v>
      </c>
      <c r="D192" s="3">
        <f>'4B Biological treatment '!T245</f>
        <v>4.6151457496288035</v>
      </c>
      <c r="E192" s="152">
        <f>'4B Biological treatment '!U245</f>
        <v>23.075728748144016</v>
      </c>
      <c r="F192" s="152">
        <f>'4B Biological treatment '!W245</f>
        <v>1.384543724888641</v>
      </c>
      <c r="G192" s="688">
        <f>'4C2 Open-burning '!R184</f>
        <v>10.031875296933659</v>
      </c>
      <c r="H192" s="688">
        <f>'4C2 Open-burning '!Z184</f>
        <v>3.3754189078182595</v>
      </c>
      <c r="I192" s="688">
        <f>'4C2 Open-burning '!AH184</f>
        <v>4.6991528270367816E-2</v>
      </c>
      <c r="J192" s="93">
        <f>'4D Wastewater treatment and dis'!AV221</f>
        <v>235.50703225437104</v>
      </c>
      <c r="K192" s="3">
        <f>'4D Wastewater treatment and dis'!AW221</f>
        <v>3.711999456211089</v>
      </c>
      <c r="L192" s="465">
        <f t="shared" si="140"/>
        <v>6442.2196477602583</v>
      </c>
      <c r="M192" s="688">
        <f t="shared" si="131"/>
        <v>96.918060742204872</v>
      </c>
      <c r="N192" s="465">
        <f t="shared" si="132"/>
        <v>913.7988584265031</v>
      </c>
      <c r="O192" s="464">
        <f t="shared" si="133"/>
        <v>95.483046124931136</v>
      </c>
      <c r="P192" s="465">
        <f t="shared" si="134"/>
        <v>6096.3675087672291</v>
      </c>
      <c r="Q192" s="465">
        <f t="shared" si="135"/>
        <v>6442.2196477602583</v>
      </c>
      <c r="R192" s="467">
        <f t="shared" si="136"/>
        <v>1010.7169191687079</v>
      </c>
      <c r="S192" s="464">
        <f t="shared" si="137"/>
        <v>95.483046124931136</v>
      </c>
      <c r="T192" s="465">
        <f t="shared" si="138"/>
        <v>6096.3675087672291</v>
      </c>
      <c r="U192" s="465">
        <f t="shared" si="139"/>
        <v>13644.787121821126</v>
      </c>
    </row>
    <row r="193" spans="1:21">
      <c r="A193">
        <f>'Input data'!A146</f>
        <v>2046</v>
      </c>
      <c r="C193" s="266">
        <f>'4A SWD Case 3'!BG116</f>
        <v>296.91443712304942</v>
      </c>
      <c r="D193" s="3">
        <f>'4B Biological treatment '!T246</f>
        <v>4.6618858624074679</v>
      </c>
      <c r="E193" s="152">
        <f>'4B Biological treatment '!U246</f>
        <v>23.309429312037338</v>
      </c>
      <c r="F193" s="152">
        <f>'4B Biological treatment '!W246</f>
        <v>1.3985657587222404</v>
      </c>
      <c r="G193" s="688">
        <f>'4C2 Open-burning '!R185</f>
        <v>10.016080649685344</v>
      </c>
      <c r="H193" s="688">
        <f>'4C2 Open-burning '!Z185</f>
        <v>3.3701044925782111</v>
      </c>
      <c r="I193" s="688">
        <f>'4C2 Open-burning '!AH185</f>
        <v>4.6917542640490965E-2</v>
      </c>
      <c r="J193" s="93">
        <f>'4D Wastewater treatment and dis'!AV222</f>
        <v>236.70925796835201</v>
      </c>
      <c r="K193" s="3">
        <f>'4D Wastewater treatment and dis'!AW222</f>
        <v>3.7309486194433799</v>
      </c>
      <c r="L193" s="465">
        <f t="shared" si="140"/>
        <v>6235.2031795840376</v>
      </c>
      <c r="M193" s="688">
        <f t="shared" si="131"/>
        <v>97.899603110556825</v>
      </c>
      <c r="N193" s="465">
        <f t="shared" si="132"/>
        <v>923.05340075667868</v>
      </c>
      <c r="O193" s="464">
        <f t="shared" si="133"/>
        <v>95.332713212379986</v>
      </c>
      <c r="P193" s="465">
        <f t="shared" si="134"/>
        <v>6127.4884893628396</v>
      </c>
      <c r="Q193" s="465">
        <f t="shared" si="135"/>
        <v>6235.2031795840376</v>
      </c>
      <c r="R193" s="467">
        <f t="shared" si="136"/>
        <v>1020.9530038672356</v>
      </c>
      <c r="S193" s="464">
        <f t="shared" si="137"/>
        <v>95.332713212379986</v>
      </c>
      <c r="T193" s="465">
        <f t="shared" si="138"/>
        <v>6127.4884893628396</v>
      </c>
      <c r="U193" s="465">
        <f t="shared" si="139"/>
        <v>13478.977386026494</v>
      </c>
    </row>
    <row r="194" spans="1:21">
      <c r="A194">
        <f>'Input data'!A147</f>
        <v>2047</v>
      </c>
      <c r="C194" s="266">
        <f>'4A SWD Case 3'!BG117</f>
        <v>288.18673738979305</v>
      </c>
      <c r="D194" s="3">
        <f>'4B Biological treatment '!T247</f>
        <v>4.6723744001611447</v>
      </c>
      <c r="E194" s="152">
        <f>'4B Biological treatment '!U247</f>
        <v>23.361872000805718</v>
      </c>
      <c r="F194" s="152">
        <f>'4B Biological treatment '!W247</f>
        <v>1.4017123200483432</v>
      </c>
      <c r="G194" s="688">
        <f>'4C2 Open-burning '!R186</f>
        <v>10.000415502259907</v>
      </c>
      <c r="H194" s="688">
        <f>'4C2 Open-burning '!Z186</f>
        <v>3.3648336500638756</v>
      </c>
      <c r="I194" s="688">
        <f>'4C2 Open-burning '!AH186</f>
        <v>4.6844163616498617E-2</v>
      </c>
      <c r="J194" s="93">
        <f>'4D Wastewater treatment and dis'!AV223</f>
        <v>237.91762085222362</v>
      </c>
      <c r="K194" s="3">
        <f>'4D Wastewater treatment and dis'!AW223</f>
        <v>3.74999451512174</v>
      </c>
      <c r="L194" s="465">
        <f t="shared" si="140"/>
        <v>6051.9214851856541</v>
      </c>
      <c r="M194" s="688">
        <f t="shared" si="131"/>
        <v>98.119862403384033</v>
      </c>
      <c r="N194" s="465">
        <f t="shared" si="132"/>
        <v>925.13013123190649</v>
      </c>
      <c r="O194" s="464">
        <f t="shared" si="133"/>
        <v>95.183612874715863</v>
      </c>
      <c r="P194" s="465">
        <f t="shared" si="134"/>
        <v>6158.7683375844354</v>
      </c>
      <c r="Q194" s="465">
        <f t="shared" si="135"/>
        <v>6051.9214851856541</v>
      </c>
      <c r="R194" s="467">
        <f t="shared" si="136"/>
        <v>1023.2499936352905</v>
      </c>
      <c r="S194" s="464">
        <f t="shared" si="137"/>
        <v>95.183612874715863</v>
      </c>
      <c r="T194" s="465">
        <f t="shared" si="138"/>
        <v>6158.7683375844354</v>
      </c>
      <c r="U194" s="465">
        <f t="shared" si="139"/>
        <v>13329.123429280095</v>
      </c>
    </row>
    <row r="195" spans="1:21">
      <c r="A195">
        <f>'Input data'!A148</f>
        <v>2048</v>
      </c>
      <c r="C195" s="266">
        <f>'4A SWD Case 3'!BG118</f>
        <v>280.53390236201318</v>
      </c>
      <c r="D195" s="3">
        <f>'4B Biological treatment '!T248</f>
        <v>4.6786417825448847</v>
      </c>
      <c r="E195" s="152">
        <f>'4B Biological treatment '!U248</f>
        <v>23.393208912724425</v>
      </c>
      <c r="F195" s="152">
        <f>'4B Biological treatment '!W248</f>
        <v>1.4035925347634655</v>
      </c>
      <c r="G195" s="688">
        <f>'4C2 Open-burning '!R187</f>
        <v>9.984878469104487</v>
      </c>
      <c r="H195" s="688">
        <f>'4C2 Open-burning '!Z187</f>
        <v>3.3596059140791361</v>
      </c>
      <c r="I195" s="688">
        <f>'4C2 Open-burning '!AH187</f>
        <v>4.6771384708153965E-2</v>
      </c>
      <c r="J195" s="93">
        <f>'4D Wastewater treatment and dis'!AV224</f>
        <v>239.13215223525594</v>
      </c>
      <c r="K195" s="3">
        <f>'4D Wastewater treatment and dis'!AW224</f>
        <v>3.769137637049826</v>
      </c>
      <c r="L195" s="465">
        <f t="shared" si="140"/>
        <v>5891.2119496022769</v>
      </c>
      <c r="M195" s="688">
        <f t="shared" si="131"/>
        <v>98.251477433442574</v>
      </c>
      <c r="N195" s="465">
        <f t="shared" si="132"/>
        <v>926.37107294388716</v>
      </c>
      <c r="O195" s="464">
        <f t="shared" si="133"/>
        <v>95.035731924294083</v>
      </c>
      <c r="P195" s="465">
        <f t="shared" si="134"/>
        <v>6190.2078644258199</v>
      </c>
      <c r="Q195" s="465">
        <f t="shared" si="135"/>
        <v>5891.2119496022769</v>
      </c>
      <c r="R195" s="467">
        <f t="shared" si="136"/>
        <v>1024.6225503773298</v>
      </c>
      <c r="S195" s="464">
        <f t="shared" si="137"/>
        <v>95.035731924294083</v>
      </c>
      <c r="T195" s="465">
        <f t="shared" si="138"/>
        <v>6190.2078644258199</v>
      </c>
      <c r="U195" s="465">
        <f t="shared" si="139"/>
        <v>13201.07809632972</v>
      </c>
    </row>
    <row r="196" spans="1:21">
      <c r="A196">
        <f>'Input data'!A149</f>
        <v>2049</v>
      </c>
      <c r="C196" s="266">
        <f>'4A SWD Case 3'!BG119</f>
        <v>273.9039671562777</v>
      </c>
      <c r="D196" s="3">
        <f>'4B Biological treatment '!T249</f>
        <v>4.6851282657538373</v>
      </c>
      <c r="E196" s="152">
        <f>'4B Biological treatment '!U249</f>
        <v>23.425641328769188</v>
      </c>
      <c r="F196" s="152">
        <f>'4B Biological treatment '!W249</f>
        <v>1.4055384797261512</v>
      </c>
      <c r="G196" s="688">
        <f>'4C2 Open-burning '!R188</f>
        <v>9.9694681839421868</v>
      </c>
      <c r="H196" s="688">
        <f>'4C2 Open-burning '!Z188</f>
        <v>3.3544208249136438</v>
      </c>
      <c r="I196" s="688">
        <f>'4C2 Open-burning '!AH188</f>
        <v>4.669919951551306E-2</v>
      </c>
      <c r="J196" s="93">
        <f>'4D Wastewater treatment and dis'!AV225</f>
        <v>240.35288360665007</v>
      </c>
      <c r="K196" s="3">
        <f>'4D Wastewater treatment and dis'!AW225</f>
        <v>3.7883784815520856</v>
      </c>
      <c r="L196" s="465">
        <f t="shared" si="140"/>
        <v>5751.983310281832</v>
      </c>
      <c r="M196" s="688">
        <f t="shared" si="131"/>
        <v>98.387693580830586</v>
      </c>
      <c r="N196" s="465">
        <f t="shared" si="132"/>
        <v>927.65539661925982</v>
      </c>
      <c r="O196" s="464">
        <f t="shared" si="133"/>
        <v>94.889057356937755</v>
      </c>
      <c r="P196" s="465">
        <f t="shared" si="134"/>
        <v>6221.8078850207985</v>
      </c>
      <c r="Q196" s="465">
        <f t="shared" si="135"/>
        <v>5751.983310281832</v>
      </c>
      <c r="R196" s="467">
        <f t="shared" si="136"/>
        <v>1026.0430902000903</v>
      </c>
      <c r="S196" s="464">
        <f t="shared" si="137"/>
        <v>94.889057356937755</v>
      </c>
      <c r="T196" s="465">
        <f t="shared" si="138"/>
        <v>6221.8078850207985</v>
      </c>
      <c r="U196" s="465">
        <f t="shared" si="139"/>
        <v>13094.723342859659</v>
      </c>
    </row>
    <row r="197" spans="1:21">
      <c r="A197">
        <f>'Input data'!A150</f>
        <v>2050</v>
      </c>
      <c r="C197" s="266">
        <f>'4A SWD Case 3'!BG120</f>
        <v>268.24811680786729</v>
      </c>
      <c r="D197" s="3">
        <f>'4B Biological treatment '!T250</f>
        <v>4.6898725095967517</v>
      </c>
      <c r="E197" s="152">
        <f>'4B Biological treatment '!U250</f>
        <v>23.44936254798376</v>
      </c>
      <c r="F197" s="152">
        <f>'4B Biological treatment '!W250</f>
        <v>1.4069617528790255</v>
      </c>
      <c r="G197" s="688">
        <f>'4C2 Open-burning '!R189</f>
        <v>9.9541832994375596</v>
      </c>
      <c r="H197" s="688">
        <f>'4C2 Open-burning '!Z189</f>
        <v>3.3492779292302708</v>
      </c>
      <c r="I197" s="688">
        <f>'4C2 Open-burning '!AH189</f>
        <v>4.6627601727357935E-2</v>
      </c>
      <c r="J197" s="93">
        <f>'4D Wastewater treatment and dis'!AV226</f>
        <v>241.57984661635467</v>
      </c>
      <c r="K197" s="3">
        <f>'4D Wastewater treatment and dis'!AW226</f>
        <v>3.8077175474866229</v>
      </c>
      <c r="L197" s="465">
        <f t="shared" si="140"/>
        <v>5633.2104529652133</v>
      </c>
      <c r="M197" s="688">
        <f t="shared" si="131"/>
        <v>98.487322701531781</v>
      </c>
      <c r="N197" s="465">
        <f t="shared" si="132"/>
        <v>928.59475690015688</v>
      </c>
      <c r="O197" s="464">
        <f t="shared" si="133"/>
        <v>94.743576348754203</v>
      </c>
      <c r="P197" s="465">
        <f t="shared" si="134"/>
        <v>6253.5692186643009</v>
      </c>
      <c r="Q197" s="417">
        <f t="shared" si="135"/>
        <v>5633.2104529652133</v>
      </c>
      <c r="R197" s="463">
        <f t="shared" si="136"/>
        <v>1027.0820796016887</v>
      </c>
      <c r="S197" s="460">
        <f t="shared" si="137"/>
        <v>94.743576348754203</v>
      </c>
      <c r="T197" s="417">
        <f t="shared" si="138"/>
        <v>6253.5692186643009</v>
      </c>
      <c r="U197" s="417">
        <f t="shared" si="139"/>
        <v>13008.605327579957</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1.2710110729266071</v>
      </c>
      <c r="E200" s="152">
        <f>'4B Biological treatment '!U253</f>
        <v>19.938637002127678</v>
      </c>
      <c r="F200" s="152">
        <f>'4B Biological treatment '!W253</f>
        <v>1.1963182201276605</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26.691232531458748</v>
      </c>
      <c r="N200" s="465">
        <f t="shared" si="147"/>
        <v>789.57002528425596</v>
      </c>
      <c r="O200" s="464">
        <f t="shared" si="148"/>
        <v>307.81392004196488</v>
      </c>
      <c r="P200" s="465">
        <f t="shared" si="149"/>
        <v>3922.0560748079342</v>
      </c>
      <c r="Q200" s="465">
        <f t="shared" si="141"/>
        <v>16839.906548915631</v>
      </c>
      <c r="R200" s="467">
        <f t="shared" si="142"/>
        <v>816.26125781571466</v>
      </c>
      <c r="S200" s="464">
        <f t="shared" si="143"/>
        <v>307.81392004196488</v>
      </c>
      <c r="T200" s="465">
        <f t="shared" si="144"/>
        <v>3922.0560748079342</v>
      </c>
      <c r="U200" s="465">
        <f t="shared" si="145"/>
        <v>21886.037801581242</v>
      </c>
    </row>
    <row r="201" spans="1:21">
      <c r="A201">
        <f>'Input data'!A120</f>
        <v>2020</v>
      </c>
      <c r="C201" s="266">
        <f>'4A SWD Case 3'!BN90</f>
        <v>782.12953757501634</v>
      </c>
      <c r="D201" s="3">
        <f>'4B Biological treatment '!T254</f>
        <v>1.8846522445872624</v>
      </c>
      <c r="E201" s="152">
        <f>'4B Biological treatment '!U254</f>
        <v>19.378699828860682</v>
      </c>
      <c r="F201" s="152">
        <f>'4B Biological treatment '!W254</f>
        <v>1.162721989731641</v>
      </c>
      <c r="G201" s="688">
        <f>'4C2 Open-burning '!R159</f>
        <v>31.469339877453482</v>
      </c>
      <c r="H201" s="688">
        <f>'4C2 Open-burning '!Z159</f>
        <v>10.588469423197822</v>
      </c>
      <c r="I201" s="688">
        <f>'4C2 Open-burning '!AH159</f>
        <v>0.14740936571980473</v>
      </c>
      <c r="J201" s="93">
        <f>'4D Wastewater treatment and dis'!AV196</f>
        <v>149.64833972612956</v>
      </c>
      <c r="K201" s="3">
        <f>'4D Wastewater treatment and dis'!AW196</f>
        <v>2.9904262793007734</v>
      </c>
      <c r="L201" s="465">
        <f t="shared" si="150"/>
        <v>16424.720289075343</v>
      </c>
      <c r="M201" s="688">
        <f t="shared" si="146"/>
        <v>39.57769713633251</v>
      </c>
      <c r="N201" s="465">
        <f t="shared" si="147"/>
        <v>767.39651322288296</v>
      </c>
      <c r="O201" s="464">
        <f t="shared" si="148"/>
        <v>299.52410113774715</v>
      </c>
      <c r="P201" s="465">
        <f t="shared" si="149"/>
        <v>4069.6472808319609</v>
      </c>
      <c r="Q201" s="465">
        <f t="shared" si="141"/>
        <v>16424.720289075343</v>
      </c>
      <c r="R201" s="467">
        <f t="shared" si="142"/>
        <v>806.97421035921548</v>
      </c>
      <c r="S201" s="464">
        <f t="shared" si="143"/>
        <v>299.52410113774715</v>
      </c>
      <c r="T201" s="465">
        <f t="shared" si="144"/>
        <v>4069.6472808319609</v>
      </c>
      <c r="U201" s="465">
        <f t="shared" si="145"/>
        <v>21600.865881404265</v>
      </c>
    </row>
    <row r="202" spans="1:21">
      <c r="A202">
        <f>'Input data'!A121</f>
        <v>2021</v>
      </c>
      <c r="C202" s="266">
        <f>'4A SWD Case 3'!BN91</f>
        <v>761.07571442292033</v>
      </c>
      <c r="D202" s="3">
        <f>'4B Biological treatment '!T255</f>
        <v>2.9049373069499969</v>
      </c>
      <c r="E202" s="152">
        <f>'4B Biological treatment '!U255</f>
        <v>20.613230297659893</v>
      </c>
      <c r="F202" s="152">
        <f>'4B Biological treatment '!W255</f>
        <v>1.2367938178595934</v>
      </c>
      <c r="G202" s="688">
        <f>'4C2 Open-burning '!R160</f>
        <v>28.931012243244801</v>
      </c>
      <c r="H202" s="688">
        <f>'4C2 Open-burning '!Z160</f>
        <v>9.7343998861328558</v>
      </c>
      <c r="I202" s="688">
        <f>'4C2 Open-burning '!AH160</f>
        <v>0.13551927625479393</v>
      </c>
      <c r="J202" s="93">
        <f>'4D Wastewater treatment and dis'!AV197</f>
        <v>155.42542691703585</v>
      </c>
      <c r="K202" s="3">
        <f>'4D Wastewater treatment and dis'!AW197</f>
        <v>3.0248585614028385</v>
      </c>
      <c r="L202" s="465">
        <f t="shared" si="150"/>
        <v>15982.590002881327</v>
      </c>
      <c r="M202" s="688">
        <f t="shared" si="146"/>
        <v>61.003683445949932</v>
      </c>
      <c r="N202" s="465">
        <f t="shared" si="147"/>
        <v>816.28391978733168</v>
      </c>
      <c r="O202" s="464">
        <f t="shared" si="148"/>
        <v>275.36438549102087</v>
      </c>
      <c r="P202" s="465">
        <f t="shared" si="149"/>
        <v>4201.6401192926323</v>
      </c>
      <c r="Q202" s="465">
        <f t="shared" si="141"/>
        <v>15982.590002881327</v>
      </c>
      <c r="R202" s="467">
        <f t="shared" si="142"/>
        <v>877.28760323328163</v>
      </c>
      <c r="S202" s="464">
        <f t="shared" si="143"/>
        <v>275.36438549102087</v>
      </c>
      <c r="T202" s="465">
        <f t="shared" si="144"/>
        <v>4201.6401192926323</v>
      </c>
      <c r="U202" s="465">
        <f t="shared" si="145"/>
        <v>21336.882110898263</v>
      </c>
    </row>
    <row r="203" spans="1:21">
      <c r="A203">
        <f>'Input data'!A122</f>
        <v>2022</v>
      </c>
      <c r="C203" s="266">
        <f>'4A SWD Case 3'!BN92</f>
        <v>735.24741340936725</v>
      </c>
      <c r="D203" s="3">
        <f>'4B Biological treatment '!T256</f>
        <v>3.8358510201929947</v>
      </c>
      <c r="E203" s="152">
        <f>'4B Biological treatment '!U256</f>
        <v>19.179255100964973</v>
      </c>
      <c r="F203" s="152">
        <f>'4B Biological treatment '!W256</f>
        <v>1.1507553060578983</v>
      </c>
      <c r="G203" s="688">
        <f>'4C2 Open-burning '!R161</f>
        <v>24.077995052126731</v>
      </c>
      <c r="H203" s="688">
        <f>'4C2 Open-burning '!Z161</f>
        <v>8.1015081782510823</v>
      </c>
      <c r="I203" s="688">
        <f>'4C2 Open-burning '!AH161</f>
        <v>0.11278666766637657</v>
      </c>
      <c r="J203" s="93">
        <f>'4D Wastewater treatment and dis'!AV198</f>
        <v>161.31571105616422</v>
      </c>
      <c r="K203" s="3">
        <f>'4D Wastewater treatment and dis'!AW198</f>
        <v>3.0596873027184164</v>
      </c>
      <c r="L203" s="465">
        <f t="shared" si="150"/>
        <v>15440.195681596713</v>
      </c>
      <c r="M203" s="688">
        <f t="shared" si="146"/>
        <v>80.552871424052896</v>
      </c>
      <c r="N203" s="465">
        <f t="shared" si="147"/>
        <v>759.49850199821299</v>
      </c>
      <c r="O203" s="464">
        <f t="shared" si="148"/>
        <v>229.17353377197622</v>
      </c>
      <c r="P203" s="465">
        <f t="shared" si="149"/>
        <v>4336.1329960221574</v>
      </c>
      <c r="Q203" s="465">
        <f t="shared" si="141"/>
        <v>15440.195681596713</v>
      </c>
      <c r="R203" s="467">
        <f t="shared" si="142"/>
        <v>840.0513734222659</v>
      </c>
      <c r="S203" s="464">
        <f t="shared" si="143"/>
        <v>229.17353377197622</v>
      </c>
      <c r="T203" s="465">
        <f t="shared" si="144"/>
        <v>4336.1329960221574</v>
      </c>
      <c r="U203" s="465">
        <f t="shared" si="145"/>
        <v>20845.553584813111</v>
      </c>
    </row>
    <row r="204" spans="1:21">
      <c r="A204">
        <f>'Input data'!A123</f>
        <v>2023</v>
      </c>
      <c r="C204" s="266">
        <f>'4A SWD Case 3'!BN93</f>
        <v>707.64427424305222</v>
      </c>
      <c r="D204" s="3">
        <f>'4B Biological treatment '!T257</f>
        <v>3.8528476560572686</v>
      </c>
      <c r="E204" s="152">
        <f>'4B Biological treatment '!U257</f>
        <v>19.264238280286342</v>
      </c>
      <c r="F204" s="152">
        <f>'4B Biological treatment '!W257</f>
        <v>1.1558542968171805</v>
      </c>
      <c r="G204" s="688">
        <f>'4C2 Open-burning '!R162</f>
        <v>22.834713354191649</v>
      </c>
      <c r="H204" s="688">
        <f>'4C2 Open-burning '!Z162</f>
        <v>7.6831819504283345</v>
      </c>
      <c r="I204" s="688">
        <f>'4C2 Open-burning '!AH162</f>
        <v>0.10696286051893278</v>
      </c>
      <c r="J204" s="93">
        <f>'4D Wastewater treatment and dis'!AV199</f>
        <v>167.32103297774702</v>
      </c>
      <c r="K204" s="3">
        <f>'4D Wastewater treatment and dis'!AW199</f>
        <v>3.0949170681470224</v>
      </c>
      <c r="L204" s="465">
        <f t="shared" si="150"/>
        <v>14860.529759104096</v>
      </c>
      <c r="M204" s="688">
        <f t="shared" si="146"/>
        <v>80.909800777202648</v>
      </c>
      <c r="N204" s="465">
        <f t="shared" si="147"/>
        <v>762.86383589933916</v>
      </c>
      <c r="O204" s="464">
        <f t="shared" si="148"/>
        <v>217.34002107405581</v>
      </c>
      <c r="P204" s="465">
        <f t="shared" si="149"/>
        <v>4473.1659836582639</v>
      </c>
      <c r="Q204" s="465">
        <f t="shared" si="141"/>
        <v>14860.529759104096</v>
      </c>
      <c r="R204" s="467">
        <f t="shared" si="142"/>
        <v>843.77363667654186</v>
      </c>
      <c r="S204" s="464">
        <f t="shared" si="143"/>
        <v>217.34002107405581</v>
      </c>
      <c r="T204" s="465">
        <f t="shared" si="144"/>
        <v>4473.1659836582639</v>
      </c>
      <c r="U204" s="465">
        <f t="shared" si="145"/>
        <v>20394.809400512961</v>
      </c>
    </row>
    <row r="205" spans="1:21">
      <c r="A205">
        <f>'Input data'!A124</f>
        <v>2024</v>
      </c>
      <c r="C205" s="266">
        <f>'4A SWD Case 3'!BN94</f>
        <v>681.16608634359386</v>
      </c>
      <c r="D205" s="3">
        <f>'4B Biological treatment '!T258</f>
        <v>3.8718008159136472</v>
      </c>
      <c r="E205" s="152">
        <f>'4B Biological treatment '!U258</f>
        <v>19.359004079568237</v>
      </c>
      <c r="F205" s="152">
        <f>'4B Biological treatment '!W258</f>
        <v>1.1615402447740941</v>
      </c>
      <c r="G205" s="688">
        <f>'4C2 Open-burning '!R163</f>
        <v>21.570135720604139</v>
      </c>
      <c r="H205" s="688">
        <f>'4C2 Open-burning '!Z163</f>
        <v>7.2576902922415494</v>
      </c>
      <c r="I205" s="688">
        <f>'4C2 Open-burning '!AH163</f>
        <v>0.10103929848692009</v>
      </c>
      <c r="J205" s="93">
        <f>'4D Wastewater treatment and dis'!AV200</f>
        <v>173.44326090016418</v>
      </c>
      <c r="K205" s="3">
        <f>'4D Wastewater treatment and dis'!AW200</f>
        <v>3.1305524751492158</v>
      </c>
      <c r="L205" s="465">
        <f t="shared" si="150"/>
        <v>14304.487813215472</v>
      </c>
      <c r="M205" s="688">
        <f t="shared" si="146"/>
        <v>81.307817134186593</v>
      </c>
      <c r="N205" s="465">
        <f t="shared" si="147"/>
        <v>766.61656155090213</v>
      </c>
      <c r="O205" s="464">
        <f t="shared" si="148"/>
        <v>205.3038143886219</v>
      </c>
      <c r="P205" s="465">
        <f t="shared" si="149"/>
        <v>4612.7797461997052</v>
      </c>
      <c r="Q205" s="465">
        <f t="shared" si="141"/>
        <v>14304.487813215472</v>
      </c>
      <c r="R205" s="467">
        <f t="shared" si="142"/>
        <v>847.92437868508875</v>
      </c>
      <c r="S205" s="464">
        <f t="shared" si="143"/>
        <v>205.3038143886219</v>
      </c>
      <c r="T205" s="465">
        <f t="shared" si="144"/>
        <v>4612.7797461997052</v>
      </c>
      <c r="U205" s="465">
        <f t="shared" si="145"/>
        <v>19970.495752488889</v>
      </c>
    </row>
    <row r="206" spans="1:21">
      <c r="A206">
        <f>'Input data'!A125</f>
        <v>2025</v>
      </c>
      <c r="C206" s="266">
        <f>'4A SWD Case 3'!BN95</f>
        <v>655.7319165007076</v>
      </c>
      <c r="D206" s="3">
        <f>'4B Biological treatment '!T259</f>
        <v>3.8932955013772927</v>
      </c>
      <c r="E206" s="152">
        <f>'4B Biological treatment '!U259</f>
        <v>19.466477506886463</v>
      </c>
      <c r="F206" s="152">
        <f>'4B Biological treatment '!W259</f>
        <v>1.1679886504131876</v>
      </c>
      <c r="G206" s="688">
        <f>'4C2 Open-burning '!R164</f>
        <v>20.283486456074922</v>
      </c>
      <c r="H206" s="688">
        <f>'4C2 Open-burning '!Z164</f>
        <v>6.8247722059740834</v>
      </c>
      <c r="I206" s="688">
        <f>'4C2 Open-burning '!AH164</f>
        <v>9.5012348041607686E-2</v>
      </c>
      <c r="J206" s="93">
        <f>'4D Wastewater treatment and dis'!AV201</f>
        <v>179.68429081250378</v>
      </c>
      <c r="K206" s="3">
        <f>'4D Wastewater treatment and dis'!AW201</f>
        <v>3.166598194351784</v>
      </c>
      <c r="L206" s="465">
        <f t="shared" si="150"/>
        <v>13770.37024651486</v>
      </c>
      <c r="M206" s="688">
        <f t="shared" si="146"/>
        <v>81.759205528923147</v>
      </c>
      <c r="N206" s="465">
        <f t="shared" si="147"/>
        <v>770.87250927270384</v>
      </c>
      <c r="O206" s="464">
        <f t="shared" si="148"/>
        <v>193.05753067442905</v>
      </c>
      <c r="P206" s="465">
        <f t="shared" si="149"/>
        <v>4755.015547311632</v>
      </c>
      <c r="Q206" s="465">
        <f t="shared" si="141"/>
        <v>13770.37024651486</v>
      </c>
      <c r="R206" s="467">
        <f t="shared" si="142"/>
        <v>852.63171480162703</v>
      </c>
      <c r="S206" s="464">
        <f t="shared" si="143"/>
        <v>193.05753067442905</v>
      </c>
      <c r="T206" s="465">
        <f t="shared" si="144"/>
        <v>4755.015547311632</v>
      </c>
      <c r="U206" s="465">
        <f t="shared" si="145"/>
        <v>19571.075039302548</v>
      </c>
    </row>
    <row r="207" spans="1:21">
      <c r="A207">
        <f>'Input data'!A126</f>
        <v>2026</v>
      </c>
      <c r="C207" s="266">
        <f>'4A SWD Case 3'!BN96</f>
        <v>631.26430494477165</v>
      </c>
      <c r="D207" s="3">
        <f>'4B Biological treatment '!T260</f>
        <v>3.9159299421212768</v>
      </c>
      <c r="E207" s="152">
        <f>'4B Biological treatment '!U260</f>
        <v>19.579649710606382</v>
      </c>
      <c r="F207" s="152">
        <f>'4B Biological treatment '!W260</f>
        <v>1.1747789826363828</v>
      </c>
      <c r="G207" s="688">
        <f>'4C2 Open-burning '!R165</f>
        <v>18.985188117273655</v>
      </c>
      <c r="H207" s="688">
        <f>'4C2 Open-burning '!Z165</f>
        <v>6.3879345628548228</v>
      </c>
      <c r="I207" s="688">
        <f>'4C2 Open-burning '!AH165</f>
        <v>8.8930830749442052E-2</v>
      </c>
      <c r="J207" s="93">
        <f>'4D Wastewater treatment and dis'!AV202</f>
        <v>185.73930530907452</v>
      </c>
      <c r="K207" s="3">
        <f>'4D Wastewater treatment and dis'!AW202</f>
        <v>3.1977779387807019</v>
      </c>
      <c r="L207" s="465">
        <f t="shared" si="150"/>
        <v>13256.550403840205</v>
      </c>
      <c r="M207" s="688">
        <f t="shared" si="146"/>
        <v>82.234528784546811</v>
      </c>
      <c r="N207" s="465">
        <f t="shared" si="147"/>
        <v>775.35412854001265</v>
      </c>
      <c r="O207" s="464">
        <f t="shared" si="148"/>
        <v>180.70037146955198</v>
      </c>
      <c r="P207" s="465">
        <f t="shared" si="149"/>
        <v>4891.8365725125823</v>
      </c>
      <c r="Q207" s="465">
        <f t="shared" si="141"/>
        <v>13256.550403840205</v>
      </c>
      <c r="R207" s="467">
        <f t="shared" si="142"/>
        <v>857.58865732455945</v>
      </c>
      <c r="S207" s="464">
        <f t="shared" si="143"/>
        <v>180.70037146955198</v>
      </c>
      <c r="T207" s="465">
        <f t="shared" si="144"/>
        <v>4891.8365725125823</v>
      </c>
      <c r="U207" s="465">
        <f t="shared" si="145"/>
        <v>19186.676005146895</v>
      </c>
    </row>
    <row r="208" spans="1:21">
      <c r="A208">
        <f>'Input data'!A127</f>
        <v>2027</v>
      </c>
      <c r="C208" s="266">
        <f>'4A SWD Case 3'!BN97</f>
        <v>607.68528159022173</v>
      </c>
      <c r="D208" s="3">
        <f>'4B Biological treatment '!T261</f>
        <v>3.9404518020911365</v>
      </c>
      <c r="E208" s="152">
        <f>'4B Biological treatment '!U261</f>
        <v>19.702259010455681</v>
      </c>
      <c r="F208" s="152">
        <f>'4B Biological treatment '!W261</f>
        <v>1.1821355406273408</v>
      </c>
      <c r="G208" s="688">
        <f>'4C2 Open-burning '!R166</f>
        <v>17.661577035208051</v>
      </c>
      <c r="H208" s="688">
        <f>'4C2 Open-burning '!Z166</f>
        <v>5.9425799565861794</v>
      </c>
      <c r="I208" s="688">
        <f>'4C2 Open-burning '!AH166</f>
        <v>8.2730742955201886E-2</v>
      </c>
      <c r="J208" s="93">
        <f>'4D Wastewater treatment and dis'!AV203</f>
        <v>191.89613972825521</v>
      </c>
      <c r="K208" s="3">
        <f>'4D Wastewater treatment and dis'!AW203</f>
        <v>3.2292646929415123</v>
      </c>
      <c r="L208" s="465">
        <f t="shared" si="150"/>
        <v>12761.390913394656</v>
      </c>
      <c r="M208" s="688">
        <f t="shared" si="146"/>
        <v>82.749487843913869</v>
      </c>
      <c r="N208" s="465">
        <f t="shared" si="147"/>
        <v>780.20945681404487</v>
      </c>
      <c r="O208" s="464">
        <f t="shared" si="148"/>
        <v>168.10228643963038</v>
      </c>
      <c r="P208" s="465">
        <f t="shared" si="149"/>
        <v>5030.8909891052281</v>
      </c>
      <c r="Q208" s="465">
        <f t="shared" si="141"/>
        <v>12761.390913394656</v>
      </c>
      <c r="R208" s="467">
        <f t="shared" si="142"/>
        <v>862.95894465795868</v>
      </c>
      <c r="S208" s="464">
        <f t="shared" si="143"/>
        <v>168.10228643963038</v>
      </c>
      <c r="T208" s="465">
        <f t="shared" si="144"/>
        <v>5030.8909891052281</v>
      </c>
      <c r="U208" s="465">
        <f t="shared" si="145"/>
        <v>18823.343133597475</v>
      </c>
    </row>
    <row r="209" spans="1:21">
      <c r="A209">
        <f>'Input data'!A128</f>
        <v>2028</v>
      </c>
      <c r="C209" s="266">
        <f>'4A SWD Case 3'!BN98</f>
        <v>584.92429039495687</v>
      </c>
      <c r="D209" s="3">
        <f>'4B Biological treatment '!T262</f>
        <v>3.9647640209806774</v>
      </c>
      <c r="E209" s="152">
        <f>'4B Biological treatment '!U262</f>
        <v>19.823820104903387</v>
      </c>
      <c r="F209" s="152">
        <f>'4B Biological treatment '!W262</f>
        <v>1.1894292062942031</v>
      </c>
      <c r="G209" s="688">
        <f>'4C2 Open-burning '!R167</f>
        <v>16.311739327952854</v>
      </c>
      <c r="H209" s="688">
        <f>'4C2 Open-burning '!Z167</f>
        <v>5.48840089387914</v>
      </c>
      <c r="I209" s="688">
        <f>'4C2 Open-burning '!AH167</f>
        <v>7.6407803833313151E-2</v>
      </c>
      <c r="J209" s="93">
        <f>'4D Wastewater treatment and dis'!AV204</f>
        <v>198.15621215016739</v>
      </c>
      <c r="K209" s="3">
        <f>'4D Wastewater treatment and dis'!AW204</f>
        <v>3.2610614797895683</v>
      </c>
      <c r="L209" s="465">
        <f t="shared" si="150"/>
        <v>12283.410098294094</v>
      </c>
      <c r="M209" s="688">
        <f t="shared" si="146"/>
        <v>83.260044440594228</v>
      </c>
      <c r="N209" s="465">
        <f t="shared" si="147"/>
        <v>785.02327615417403</v>
      </c>
      <c r="O209" s="464">
        <f t="shared" si="148"/>
        <v>155.25457728774188</v>
      </c>
      <c r="P209" s="465">
        <f t="shared" si="149"/>
        <v>5172.2095138882814</v>
      </c>
      <c r="Q209" s="465">
        <f t="shared" si="141"/>
        <v>12283.410098294094</v>
      </c>
      <c r="R209" s="467">
        <f t="shared" si="142"/>
        <v>868.28332059476827</v>
      </c>
      <c r="S209" s="464">
        <f t="shared" si="143"/>
        <v>155.25457728774188</v>
      </c>
      <c r="T209" s="465">
        <f t="shared" si="144"/>
        <v>5172.2095138882814</v>
      </c>
      <c r="U209" s="465">
        <f t="shared" si="145"/>
        <v>18479.157510064884</v>
      </c>
    </row>
    <row r="210" spans="1:21">
      <c r="A210">
        <f>'Input data'!A129</f>
        <v>2029</v>
      </c>
      <c r="C210" s="266">
        <f>'4A SWD Case 3'!BN99</f>
        <v>562.91371408819839</v>
      </c>
      <c r="D210" s="3">
        <f>'4B Biological treatment '!T263</f>
        <v>3.9908976664379656</v>
      </c>
      <c r="E210" s="152">
        <f>'4B Biological treatment '!U263</f>
        <v>19.954488332189825</v>
      </c>
      <c r="F210" s="152">
        <f>'4B Biological treatment '!W263</f>
        <v>1.1972692999313896</v>
      </c>
      <c r="G210" s="688">
        <f>'4C2 Open-burning '!R168</f>
        <v>14.93472003386634</v>
      </c>
      <c r="H210" s="688">
        <f>'4C2 Open-burning '!Z168</f>
        <v>5.0250760593777697</v>
      </c>
      <c r="I210" s="688">
        <f>'4C2 Open-burning '!AH168</f>
        <v>6.9957540131701218E-2</v>
      </c>
      <c r="J210" s="93">
        <f>'4D Wastewater treatment and dis'!AV205</f>
        <v>204.52095870933701</v>
      </c>
      <c r="K210" s="3">
        <f>'4D Wastewater treatment and dis'!AW205</f>
        <v>3.2931713520456056</v>
      </c>
      <c r="L210" s="465">
        <f t="shared" si="150"/>
        <v>11821.187995852166</v>
      </c>
      <c r="M210" s="688">
        <f t="shared" si="146"/>
        <v>83.808850995197275</v>
      </c>
      <c r="N210" s="465">
        <f t="shared" si="147"/>
        <v>790.19773795471713</v>
      </c>
      <c r="O210" s="464">
        <f t="shared" si="148"/>
        <v>142.1481547216269</v>
      </c>
      <c r="P210" s="465">
        <f t="shared" si="149"/>
        <v>5315.8232520302154</v>
      </c>
      <c r="Q210" s="465">
        <f t="shared" si="141"/>
        <v>11821.187995852166</v>
      </c>
      <c r="R210" s="467">
        <f t="shared" si="142"/>
        <v>874.00658894991443</v>
      </c>
      <c r="S210" s="464">
        <f t="shared" si="143"/>
        <v>142.1481547216269</v>
      </c>
      <c r="T210" s="465">
        <f t="shared" si="144"/>
        <v>5315.8232520302154</v>
      </c>
      <c r="U210" s="465">
        <f t="shared" si="145"/>
        <v>18153.16599155392</v>
      </c>
    </row>
    <row r="211" spans="1:21">
      <c r="A211">
        <f>'Input data'!A130</f>
        <v>2030</v>
      </c>
      <c r="C211" s="266">
        <f>'4A SWD Case 3'!BN100</f>
        <v>541.58871226746157</v>
      </c>
      <c r="D211" s="3">
        <f>'4B Biological treatment '!T264</f>
        <v>4.0170324438275902</v>
      </c>
      <c r="E211" s="152">
        <f>'4B Biological treatment '!U264</f>
        <v>20.085162219137949</v>
      </c>
      <c r="F211" s="152">
        <f>'4B Biological treatment '!W264</f>
        <v>1.205109733148277</v>
      </c>
      <c r="G211" s="688">
        <f>'4C2 Open-burning '!R169</f>
        <v>13.529520713203713</v>
      </c>
      <c r="H211" s="688">
        <f>'4C2 Open-burning '!Z169</f>
        <v>4.5522695086755505</v>
      </c>
      <c r="I211" s="688">
        <f>'4C2 Open-burning '!AH169</f>
        <v>6.3375274937216314E-2</v>
      </c>
      <c r="J211" s="93">
        <f>'4D Wastewater treatment and dis'!AV206</f>
        <v>210.99183381275145</v>
      </c>
      <c r="K211" s="3">
        <f>'4D Wastewater treatment and dis'!AW206</f>
        <v>3.3255973924888065</v>
      </c>
      <c r="L211" s="465">
        <f t="shared" si="150"/>
        <v>11373.362957616693</v>
      </c>
      <c r="M211" s="688">
        <f t="shared" si="146"/>
        <v>84.357681320379399</v>
      </c>
      <c r="N211" s="465">
        <f t="shared" si="147"/>
        <v>795.37242387786273</v>
      </c>
      <c r="O211" s="464">
        <f t="shared" si="148"/>
        <v>128.77351562592733</v>
      </c>
      <c r="P211" s="465">
        <f t="shared" si="149"/>
        <v>5461.7637017393099</v>
      </c>
      <c r="Q211" s="465">
        <f t="shared" si="141"/>
        <v>11373.362957616693</v>
      </c>
      <c r="R211" s="467">
        <f t="shared" si="142"/>
        <v>879.73010519824209</v>
      </c>
      <c r="S211" s="464">
        <f t="shared" si="143"/>
        <v>128.77351562592733</v>
      </c>
      <c r="T211" s="465">
        <f t="shared" si="144"/>
        <v>5461.7637017393099</v>
      </c>
      <c r="U211" s="465">
        <f t="shared" si="145"/>
        <v>17843.630280180172</v>
      </c>
    </row>
    <row r="212" spans="1:21">
      <c r="A212">
        <f>'Input data'!A131</f>
        <v>2031</v>
      </c>
      <c r="C212" s="266">
        <f>'4A SWD Case 3'!BN101</f>
        <v>520.88706620734354</v>
      </c>
      <c r="D212" s="3">
        <f>'4B Biological treatment '!T265</f>
        <v>4.0476111582222689</v>
      </c>
      <c r="E212" s="152">
        <f>'4B Biological treatment '!U265</f>
        <v>20.238055791111343</v>
      </c>
      <c r="F212" s="152">
        <f>'4B Biological treatment '!W265</f>
        <v>1.2142833474666805</v>
      </c>
      <c r="G212" s="688">
        <f>'4C2 Open-burning '!R170</f>
        <v>11.932120220532866</v>
      </c>
      <c r="H212" s="688">
        <f>'4C2 Open-burning '!Z170</f>
        <v>4.014793147903057</v>
      </c>
      <c r="I212" s="688">
        <f>'4C2 Open-burning '!AH170</f>
        <v>5.5892696836052552E-2</v>
      </c>
      <c r="J212" s="93">
        <f>'4D Wastewater treatment and dis'!AV207</f>
        <v>212.79249544373798</v>
      </c>
      <c r="K212" s="3">
        <f>'4D Wastewater treatment and dis'!AW207</f>
        <v>3.3539789441183268</v>
      </c>
      <c r="L212" s="465">
        <f t="shared" si="150"/>
        <v>10938.628390354213</v>
      </c>
      <c r="M212" s="688">
        <f t="shared" si="146"/>
        <v>84.999834322667652</v>
      </c>
      <c r="N212" s="465">
        <f t="shared" si="147"/>
        <v>801.42700932800915</v>
      </c>
      <c r="O212" s="464">
        <f t="shared" si="148"/>
        <v>113.56951234567336</v>
      </c>
      <c r="P212" s="465">
        <f t="shared" si="149"/>
        <v>5508.3758769951792</v>
      </c>
      <c r="Q212" s="465">
        <f t="shared" si="141"/>
        <v>10938.628390354213</v>
      </c>
      <c r="R212" s="467">
        <f t="shared" si="142"/>
        <v>886.4268436506768</v>
      </c>
      <c r="S212" s="464">
        <f t="shared" si="143"/>
        <v>113.56951234567336</v>
      </c>
      <c r="T212" s="465">
        <f t="shared" si="144"/>
        <v>5508.3758769951792</v>
      </c>
      <c r="U212" s="465">
        <f t="shared" si="145"/>
        <v>17447.000623345742</v>
      </c>
    </row>
    <row r="213" spans="1:21">
      <c r="A213">
        <f>'Input data'!A132</f>
        <v>2032</v>
      </c>
      <c r="C213" s="266">
        <f>'4A SWD Case 3'!BN102</f>
        <v>500.62346015391864</v>
      </c>
      <c r="D213" s="3">
        <f>'4B Biological treatment '!T266</f>
        <v>4.0799097198682102</v>
      </c>
      <c r="E213" s="152">
        <f>'4B Biological treatment '!U266</f>
        <v>20.399548599341045</v>
      </c>
      <c r="F213" s="152">
        <f>'4B Biological treatment '!W266</f>
        <v>1.2239729159604629</v>
      </c>
      <c r="G213" s="688">
        <f>'4C2 Open-burning '!R171</f>
        <v>10.344645425665796</v>
      </c>
      <c r="H213" s="688">
        <f>'4C2 Open-burning '!Z171</f>
        <v>3.4806564805625984</v>
      </c>
      <c r="I213" s="688">
        <f>'4C2 Open-burning '!AH171</f>
        <v>4.8456612904238333E-2</v>
      </c>
      <c r="J213" s="93">
        <f>'4D Wastewater treatment and dis'!AV208</f>
        <v>214.60852441027842</v>
      </c>
      <c r="K213" s="3">
        <f>'4D Wastewater treatment and dis'!AW208</f>
        <v>3.3826027116200144</v>
      </c>
      <c r="L213" s="465">
        <f t="shared" si="150"/>
        <v>10513.092663232292</v>
      </c>
      <c r="M213" s="688">
        <f t="shared" si="146"/>
        <v>85.678104117232408</v>
      </c>
      <c r="N213" s="465">
        <f t="shared" si="147"/>
        <v>807.82212453390548</v>
      </c>
      <c r="O213" s="464">
        <f t="shared" si="148"/>
        <v>98.459981517794233</v>
      </c>
      <c r="P213" s="465">
        <f t="shared" si="149"/>
        <v>5555.3858532180511</v>
      </c>
      <c r="Q213" s="465">
        <f t="shared" si="141"/>
        <v>10513.092663232292</v>
      </c>
      <c r="R213" s="467">
        <f t="shared" si="142"/>
        <v>893.50022865113783</v>
      </c>
      <c r="S213" s="464">
        <f t="shared" si="143"/>
        <v>98.459981517794233</v>
      </c>
      <c r="T213" s="465">
        <f t="shared" si="144"/>
        <v>5555.3858532180511</v>
      </c>
      <c r="U213" s="465">
        <f t="shared" si="145"/>
        <v>17060.438726619272</v>
      </c>
    </row>
    <row r="214" spans="1:21">
      <c r="A214">
        <f>'Input data'!A133</f>
        <v>2033</v>
      </c>
      <c r="C214" s="266">
        <f>'4A SWD Case 3'!BN103</f>
        <v>480.7742289398293</v>
      </c>
      <c r="D214" s="3">
        <f>'4B Biological treatment '!T267</f>
        <v>4.1138012633724212</v>
      </c>
      <c r="E214" s="152">
        <f>'4B Biological treatment '!U267</f>
        <v>20.569006316862104</v>
      </c>
      <c r="F214" s="152">
        <f>'4B Biological treatment '!W267</f>
        <v>1.2341403790117262</v>
      </c>
      <c r="G214" s="688">
        <f>'4C2 Open-burning '!R172</f>
        <v>10.313981067569168</v>
      </c>
      <c r="H214" s="688">
        <f>'4C2 Open-burning '!Z172</f>
        <v>3.4703388628638314</v>
      </c>
      <c r="I214" s="688">
        <f>'4C2 Open-burning '!AH172</f>
        <v>4.8312974251669485E-2</v>
      </c>
      <c r="J214" s="93">
        <f>'4D Wastewater treatment and dis'!AV209</f>
        <v>216.44005186138909</v>
      </c>
      <c r="K214" s="3">
        <f>'4D Wastewater treatment and dis'!AW209</f>
        <v>3.4114707621299263</v>
      </c>
      <c r="L214" s="465">
        <f t="shared" si="150"/>
        <v>10096.258807736416</v>
      </c>
      <c r="M214" s="688">
        <f t="shared" si="146"/>
        <v>86.389826530820841</v>
      </c>
      <c r="N214" s="465">
        <f t="shared" si="147"/>
        <v>814.53265014773933</v>
      </c>
      <c r="O214" s="464">
        <f t="shared" si="148"/>
        <v>98.168119205727166</v>
      </c>
      <c r="P214" s="465">
        <f t="shared" si="149"/>
        <v>5602.7970253494477</v>
      </c>
      <c r="Q214" s="465">
        <f t="shared" si="141"/>
        <v>10096.258807736416</v>
      </c>
      <c r="R214" s="467">
        <f t="shared" si="142"/>
        <v>900.9224766785602</v>
      </c>
      <c r="S214" s="464">
        <f t="shared" si="143"/>
        <v>98.168119205727166</v>
      </c>
      <c r="T214" s="465">
        <f t="shared" si="144"/>
        <v>5602.7970253494477</v>
      </c>
      <c r="U214" s="465">
        <f t="shared" si="145"/>
        <v>16698.146428970154</v>
      </c>
    </row>
    <row r="215" spans="1:21">
      <c r="A215">
        <f>'Input data'!A134</f>
        <v>2034</v>
      </c>
      <c r="C215" s="266">
        <f>'4A SWD Case 3'!BN104</f>
        <v>461.90464604779385</v>
      </c>
      <c r="D215" s="3">
        <f>'4B Biological treatment '!T268</f>
        <v>4.1521133747805568</v>
      </c>
      <c r="E215" s="152">
        <f>'4B Biological treatment '!U268</f>
        <v>20.760566873902782</v>
      </c>
      <c r="F215" s="152">
        <f>'4B Biological treatment '!W268</f>
        <v>1.2456340124341669</v>
      </c>
      <c r="G215" s="688">
        <f>'4C2 Open-burning '!R173</f>
        <v>10.283755160967955</v>
      </c>
      <c r="H215" s="688">
        <f>'4C2 Open-burning '!Z173</f>
        <v>3.4601687706699158</v>
      </c>
      <c r="I215" s="688">
        <f>'4C2 Open-burning '!AH173</f>
        <v>4.8171389403123509E-2</v>
      </c>
      <c r="J215" s="93">
        <f>'4D Wastewater treatment and dis'!AV210</f>
        <v>218.28721006534801</v>
      </c>
      <c r="K215" s="3">
        <f>'4D Wastewater treatment and dis'!AW210</f>
        <v>3.4405851804256198</v>
      </c>
      <c r="L215" s="465">
        <f t="shared" si="150"/>
        <v>9699.9975670036711</v>
      </c>
      <c r="M215" s="688">
        <f t="shared" si="146"/>
        <v>87.194380870391697</v>
      </c>
      <c r="N215" s="465">
        <f t="shared" si="147"/>
        <v>822.11844820655017</v>
      </c>
      <c r="O215" s="464">
        <f t="shared" si="148"/>
        <v>97.880430060004471</v>
      </c>
      <c r="P215" s="465">
        <f t="shared" si="149"/>
        <v>5650.6128173042498</v>
      </c>
      <c r="Q215" s="465">
        <f t="shared" si="141"/>
        <v>9699.9975670036711</v>
      </c>
      <c r="R215" s="467">
        <f t="shared" si="142"/>
        <v>909.31282907694185</v>
      </c>
      <c r="S215" s="464">
        <f t="shared" si="143"/>
        <v>97.880430060004471</v>
      </c>
      <c r="T215" s="465">
        <f t="shared" si="144"/>
        <v>5650.6128173042498</v>
      </c>
      <c r="U215" s="465">
        <f t="shared" si="145"/>
        <v>16357.803643444866</v>
      </c>
    </row>
    <row r="216" spans="1:21">
      <c r="A216">
        <f>'Input data'!A135</f>
        <v>2035</v>
      </c>
      <c r="C216" s="266">
        <f>'4A SWD Case 3'!BN105</f>
        <v>443.96694960138393</v>
      </c>
      <c r="D216" s="3">
        <f>'4B Biological treatment '!T269</f>
        <v>4.1886470337454922</v>
      </c>
      <c r="E216" s="152">
        <f>'4B Biological treatment '!U269</f>
        <v>20.943235168727462</v>
      </c>
      <c r="F216" s="152">
        <f>'4B Biological treatment '!W269</f>
        <v>1.2565941101236477</v>
      </c>
      <c r="G216" s="688">
        <f>'4C2 Open-burning '!R174</f>
        <v>10.253959437125518</v>
      </c>
      <c r="H216" s="688">
        <f>'4C2 Open-burning '!Z174</f>
        <v>3.450143421804122</v>
      </c>
      <c r="I216" s="688">
        <f>'4C2 Open-burning '!AH174</f>
        <v>4.8031819626004571E-2</v>
      </c>
      <c r="J216" s="93">
        <f>'4D Wastewater treatment and dis'!AV211</f>
        <v>220.15013241924632</v>
      </c>
      <c r="K216" s="3">
        <f>'4D Wastewater treatment and dis'!AW211</f>
        <v>3.4699480690767106</v>
      </c>
      <c r="L216" s="465">
        <f t="shared" si="150"/>
        <v>9323.3059416290635</v>
      </c>
      <c r="M216" s="688">
        <f t="shared" si="146"/>
        <v>87.96158770865533</v>
      </c>
      <c r="N216" s="465">
        <f t="shared" si="147"/>
        <v>829.35211268160742</v>
      </c>
      <c r="O216" s="464">
        <f t="shared" si="148"/>
        <v>97.596835379073497</v>
      </c>
      <c r="P216" s="465">
        <f t="shared" si="149"/>
        <v>5698.8366822179532</v>
      </c>
      <c r="Q216" s="465">
        <f t="shared" si="141"/>
        <v>9323.3059416290635</v>
      </c>
      <c r="R216" s="467">
        <f t="shared" si="142"/>
        <v>917.31370039026274</v>
      </c>
      <c r="S216" s="464">
        <f t="shared" si="143"/>
        <v>97.596835379073497</v>
      </c>
      <c r="T216" s="465">
        <f t="shared" si="144"/>
        <v>5698.8366822179532</v>
      </c>
      <c r="U216" s="465">
        <f t="shared" si="145"/>
        <v>16037.053159616353</v>
      </c>
    </row>
    <row r="217" spans="1:21">
      <c r="A217">
        <f>'Input data'!A136</f>
        <v>2036</v>
      </c>
      <c r="C217" s="266">
        <f>'4A SWD Case 3'!BN106</f>
        <v>426.9157050017991</v>
      </c>
      <c r="D217" s="3">
        <f>'4B Biological treatment '!T270</f>
        <v>4.2276068844753834</v>
      </c>
      <c r="E217" s="152">
        <f>'4B Biological treatment '!U270</f>
        <v>21.138034422376915</v>
      </c>
      <c r="F217" s="152">
        <f>'4B Biological treatment '!W270</f>
        <v>1.2682820653426148</v>
      </c>
      <c r="G217" s="688">
        <f>'4C2 Open-burning '!R175</f>
        <v>10.228720631598184</v>
      </c>
      <c r="H217" s="688">
        <f>'4C2 Open-burning '!Z175</f>
        <v>3.4416513364396093</v>
      </c>
      <c r="I217" s="688">
        <f>'4C2 Open-burning '!AH175</f>
        <v>4.7913595464684461E-2</v>
      </c>
      <c r="J217" s="93">
        <f>'4D Wastewater treatment and dis'!AV212</f>
        <v>221.76188597912451</v>
      </c>
      <c r="K217" s="3">
        <f>'4D Wastewater treatment and dis'!AW212</f>
        <v>3.4953521017314642</v>
      </c>
      <c r="L217" s="465">
        <f t="shared" si="150"/>
        <v>8965.2298050377813</v>
      </c>
      <c r="M217" s="688">
        <f t="shared" si="146"/>
        <v>88.779744573983052</v>
      </c>
      <c r="N217" s="465">
        <f t="shared" si="147"/>
        <v>837.06616312612573</v>
      </c>
      <c r="O217" s="464">
        <f t="shared" si="148"/>
        <v>97.356613290882166</v>
      </c>
      <c r="P217" s="465">
        <f t="shared" si="149"/>
        <v>5740.5587570983689</v>
      </c>
      <c r="Q217" s="465">
        <f t="shared" si="141"/>
        <v>8965.2298050377813</v>
      </c>
      <c r="R217" s="467">
        <f t="shared" si="142"/>
        <v>925.8459077001088</v>
      </c>
      <c r="S217" s="464">
        <f t="shared" si="143"/>
        <v>97.356613290882166</v>
      </c>
      <c r="T217" s="465">
        <f t="shared" si="144"/>
        <v>5740.5587570983689</v>
      </c>
      <c r="U217" s="465">
        <f t="shared" si="145"/>
        <v>15728.991083127141</v>
      </c>
    </row>
    <row r="218" spans="1:21">
      <c r="A218">
        <f>'Input data'!A137</f>
        <v>2037</v>
      </c>
      <c r="C218" s="266">
        <f>'4A SWD Case 3'!BN107</f>
        <v>410.70575985554854</v>
      </c>
      <c r="D218" s="3">
        <f>'4B Biological treatment '!T271</f>
        <v>4.2706630289885368</v>
      </c>
      <c r="E218" s="152">
        <f>'4B Biological treatment '!U271</f>
        <v>21.353315144942684</v>
      </c>
      <c r="F218" s="152">
        <f>'4B Biological treatment '!W271</f>
        <v>1.2811989086965609</v>
      </c>
      <c r="G218" s="688">
        <f>'4C2 Open-burning '!R176</f>
        <v>10.203787853753196</v>
      </c>
      <c r="H218" s="688">
        <f>'4C2 Open-burning '!Z176</f>
        <v>3.4332622200210539</v>
      </c>
      <c r="I218" s="688">
        <f>'4C2 Open-burning '!AH176</f>
        <v>4.7796804804884317E-2</v>
      </c>
      <c r="J218" s="93">
        <f>'4D Wastewater treatment and dis'!AV213</f>
        <v>223.38543943895829</v>
      </c>
      <c r="K218" s="3">
        <f>'4D Wastewater treatment and dis'!AW213</f>
        <v>3.5209421212835057</v>
      </c>
      <c r="L218" s="465">
        <f t="shared" si="150"/>
        <v>8624.8209569665196</v>
      </c>
      <c r="M218" s="688">
        <f t="shared" si="146"/>
        <v>89.683923608759272</v>
      </c>
      <c r="N218" s="465">
        <f t="shared" si="147"/>
        <v>845.59127973973023</v>
      </c>
      <c r="O218" s="464">
        <f t="shared" si="148"/>
        <v>97.11930396370947</v>
      </c>
      <c r="P218" s="465">
        <f t="shared" si="149"/>
        <v>5782.5862858160108</v>
      </c>
      <c r="Q218" s="465">
        <f t="shared" si="141"/>
        <v>8624.8209569665196</v>
      </c>
      <c r="R218" s="467">
        <f t="shared" si="142"/>
        <v>935.27520334848953</v>
      </c>
      <c r="S218" s="464">
        <f t="shared" si="143"/>
        <v>97.11930396370947</v>
      </c>
      <c r="T218" s="465">
        <f t="shared" si="144"/>
        <v>5782.5862858160108</v>
      </c>
      <c r="U218" s="465">
        <f t="shared" si="145"/>
        <v>15439.80175009473</v>
      </c>
    </row>
    <row r="219" spans="1:21">
      <c r="A219">
        <f>'Input data'!A138</f>
        <v>2038</v>
      </c>
      <c r="C219" s="266">
        <f>'4A SWD Case 3'!BN108</f>
        <v>395.29611466592877</v>
      </c>
      <c r="D219" s="3">
        <f>'4B Biological treatment '!T272</f>
        <v>4.31153335177624</v>
      </c>
      <c r="E219" s="152">
        <f>'4B Biological treatment '!U272</f>
        <v>21.557666758881197</v>
      </c>
      <c r="F219" s="152">
        <f>'4B Biological treatment '!W272</f>
        <v>1.293460005532872</v>
      </c>
      <c r="G219" s="688">
        <f>'4C2 Open-burning '!R177</f>
        <v>10.179156222495859</v>
      </c>
      <c r="H219" s="688">
        <f>'4C2 Open-burning '!Z177</f>
        <v>3.4249744302095286</v>
      </c>
      <c r="I219" s="688">
        <f>'4C2 Open-burning '!AH177</f>
        <v>4.7681424782474335E-2</v>
      </c>
      <c r="J219" s="93">
        <f>'4D Wastewater treatment and dis'!AV214</f>
        <v>225.02087918766139</v>
      </c>
      <c r="K219" s="3">
        <f>'4D Wastewater treatment and dis'!AW214</f>
        <v>3.5467194893720086</v>
      </c>
      <c r="L219" s="465">
        <f t="shared" si="150"/>
        <v>8301.2184079845047</v>
      </c>
      <c r="M219" s="688">
        <f t="shared" si="146"/>
        <v>90.542200387301037</v>
      </c>
      <c r="N219" s="465">
        <f t="shared" si="147"/>
        <v>853.68360365169542</v>
      </c>
      <c r="O219" s="464">
        <f t="shared" si="148"/>
        <v>96.88486093946301</v>
      </c>
      <c r="P219" s="465">
        <f t="shared" si="149"/>
        <v>5824.9215046462123</v>
      </c>
      <c r="Q219" s="465">
        <f t="shared" si="141"/>
        <v>8301.2184079845047</v>
      </c>
      <c r="R219" s="467">
        <f t="shared" si="142"/>
        <v>944.22580403899644</v>
      </c>
      <c r="S219" s="464">
        <f t="shared" si="143"/>
        <v>96.88486093946301</v>
      </c>
      <c r="T219" s="465">
        <f t="shared" si="144"/>
        <v>5824.9215046462123</v>
      </c>
      <c r="U219" s="465">
        <f t="shared" si="145"/>
        <v>15167.250577609177</v>
      </c>
    </row>
    <row r="220" spans="1:21">
      <c r="A220">
        <f>'Input data'!A139</f>
        <v>2039</v>
      </c>
      <c r="C220" s="266">
        <f>'4A SWD Case 3'!BN109</f>
        <v>380.64776679079387</v>
      </c>
      <c r="D220" s="3">
        <f>'4B Biological treatment '!T273</f>
        <v>4.3526766156990027</v>
      </c>
      <c r="E220" s="152">
        <f>'4B Biological treatment '!U273</f>
        <v>21.763383078495011</v>
      </c>
      <c r="F220" s="152">
        <f>'4B Biological treatment '!W273</f>
        <v>1.3058029847097008</v>
      </c>
      <c r="G220" s="688">
        <f>'4C2 Open-burning '!R178</f>
        <v>10.154820958102038</v>
      </c>
      <c r="H220" s="688">
        <f>'4C2 Open-burning '!Z178</f>
        <v>3.4167863587741936</v>
      </c>
      <c r="I220" s="688">
        <f>'4C2 Open-burning '!AH178</f>
        <v>4.7567433008166821E-2</v>
      </c>
      <c r="J220" s="93">
        <f>'4D Wastewater treatment and dis'!AV215</f>
        <v>226.66829224661399</v>
      </c>
      <c r="K220" s="3">
        <f>'4D Wastewater treatment and dis'!AW215</f>
        <v>3.5726855776049167</v>
      </c>
      <c r="L220" s="465">
        <f t="shared" si="150"/>
        <v>7993.6031026066712</v>
      </c>
      <c r="M220" s="688">
        <f t="shared" si="146"/>
        <v>91.406208929679053</v>
      </c>
      <c r="N220" s="465">
        <f t="shared" si="147"/>
        <v>861.82996990840252</v>
      </c>
      <c r="O220" s="464">
        <f t="shared" si="148"/>
        <v>96.653238724891821</v>
      </c>
      <c r="P220" s="465">
        <f t="shared" si="149"/>
        <v>5867.5666662364183</v>
      </c>
      <c r="Q220" s="465">
        <f t="shared" si="141"/>
        <v>7993.6031026066712</v>
      </c>
      <c r="R220" s="467">
        <f t="shared" si="142"/>
        <v>953.23617883808151</v>
      </c>
      <c r="S220" s="464">
        <f t="shared" si="143"/>
        <v>96.653238724891821</v>
      </c>
      <c r="T220" s="465">
        <f t="shared" si="144"/>
        <v>5867.5666662364183</v>
      </c>
      <c r="U220" s="465">
        <f t="shared" si="145"/>
        <v>14911.059186406063</v>
      </c>
    </row>
    <row r="221" spans="1:21">
      <c r="A221">
        <f>'Input data'!A140</f>
        <v>2040</v>
      </c>
      <c r="C221" s="266">
        <f>'4A SWD Case 3'!BN110</f>
        <v>366.72361327439535</v>
      </c>
      <c r="D221" s="3">
        <f>'4B Biological treatment '!T274</f>
        <v>4.3947612275784023</v>
      </c>
      <c r="E221" s="152">
        <f>'4B Biological treatment '!U274</f>
        <v>21.973806137892009</v>
      </c>
      <c r="F221" s="152">
        <f>'4B Biological treatment '!W274</f>
        <v>1.3184283682735205</v>
      </c>
      <c r="G221" s="688">
        <f>'4C2 Open-burning '!R179</f>
        <v>10.130777379596603</v>
      </c>
      <c r="H221" s="688">
        <f>'4C2 Open-burning '!Z179</f>
        <v>3.4086964307102301</v>
      </c>
      <c r="I221" s="688">
        <f>'4C2 Open-burning '!AH179</f>
        <v>4.7454807555236386E-2</v>
      </c>
      <c r="J221" s="93">
        <f>'4D Wastewater treatment and dis'!AV216</f>
        <v>228.32776627429359</v>
      </c>
      <c r="K221" s="3">
        <f>'4D Wastewater treatment and dis'!AW216</f>
        <v>3.5988417676319293</v>
      </c>
      <c r="L221" s="465">
        <f t="shared" si="150"/>
        <v>7701.1958787623025</v>
      </c>
      <c r="M221" s="688">
        <f t="shared" si="146"/>
        <v>92.289985779146448</v>
      </c>
      <c r="N221" s="465">
        <f t="shared" si="147"/>
        <v>870.1627230605236</v>
      </c>
      <c r="O221" s="464">
        <f t="shared" si="148"/>
        <v>96.424392766634725</v>
      </c>
      <c r="P221" s="465">
        <f t="shared" si="149"/>
        <v>5910.5240397260632</v>
      </c>
      <c r="Q221" s="465">
        <f t="shared" si="141"/>
        <v>7701.1958787623025</v>
      </c>
      <c r="R221" s="467">
        <f t="shared" si="142"/>
        <v>962.45270883967009</v>
      </c>
      <c r="S221" s="464">
        <f t="shared" si="143"/>
        <v>96.424392766634725</v>
      </c>
      <c r="T221" s="465">
        <f t="shared" si="144"/>
        <v>5910.5240397260632</v>
      </c>
      <c r="U221" s="465">
        <f t="shared" si="145"/>
        <v>14670.597020094669</v>
      </c>
    </row>
    <row r="222" spans="1:21">
      <c r="A222">
        <f>'Input data'!A141</f>
        <v>2041</v>
      </c>
      <c r="C222" s="266">
        <f>'4A SWD Case 3'!BN111</f>
        <v>353.48835840469752</v>
      </c>
      <c r="D222" s="3">
        <f>'4B Biological treatment '!T275</f>
        <v>4.4384449968895341</v>
      </c>
      <c r="E222" s="152">
        <f>'4B Biological treatment '!U275</f>
        <v>22.19222498444767</v>
      </c>
      <c r="F222" s="152">
        <f>'4B Biological treatment '!W275</f>
        <v>1.3315334990668601</v>
      </c>
      <c r="G222" s="688">
        <f>'4C2 Open-burning '!R180</f>
        <v>10.110594115867604</v>
      </c>
      <c r="H222" s="688">
        <f>'4C2 Open-burning '!Z180</f>
        <v>3.4019053803835608</v>
      </c>
      <c r="I222" s="688">
        <f>'4C2 Open-burning '!AH180</f>
        <v>4.7360264672670904E-2</v>
      </c>
      <c r="J222" s="93">
        <f>'4D Wastewater treatment and dis'!AV217</f>
        <v>229.74589393780369</v>
      </c>
      <c r="K222" s="3">
        <f>'4D Wastewater treatment and dis'!AW217</f>
        <v>3.6211939201999317</v>
      </c>
      <c r="L222" s="465">
        <f t="shared" si="150"/>
        <v>7423.2555264986477</v>
      </c>
      <c r="M222" s="688">
        <f t="shared" si="146"/>
        <v>93.207344934680222</v>
      </c>
      <c r="N222" s="465">
        <f t="shared" si="147"/>
        <v>878.81210938412778</v>
      </c>
      <c r="O222" s="464">
        <f t="shared" si="148"/>
        <v>96.232289152450349</v>
      </c>
      <c r="P222" s="465">
        <f t="shared" si="149"/>
        <v>5947.2338879558556</v>
      </c>
      <c r="Q222" s="465">
        <f t="shared" si="141"/>
        <v>7423.2555264986477</v>
      </c>
      <c r="R222" s="467">
        <f t="shared" si="142"/>
        <v>972.01945431880802</v>
      </c>
      <c r="S222" s="464">
        <f t="shared" si="143"/>
        <v>96.232289152450349</v>
      </c>
      <c r="T222" s="465">
        <f t="shared" si="144"/>
        <v>5947.2338879558556</v>
      </c>
      <c r="U222" s="465">
        <f t="shared" si="145"/>
        <v>14438.741157925762</v>
      </c>
    </row>
    <row r="223" spans="1:21">
      <c r="A223">
        <f>'Input data'!A142</f>
        <v>2042</v>
      </c>
      <c r="C223" s="266">
        <f>'4A SWD Case 3'!BN112</f>
        <v>340.90667835429986</v>
      </c>
      <c r="D223" s="3">
        <f>'4B Biological treatment '!T276</f>
        <v>4.4804480343218849</v>
      </c>
      <c r="E223" s="152">
        <f>'4B Biological treatment '!U276</f>
        <v>22.402240171609421</v>
      </c>
      <c r="F223" s="152">
        <f>'4B Biological treatment '!W276</f>
        <v>1.3441344102965653</v>
      </c>
      <c r="G223" s="688">
        <f>'4C2 Open-burning '!R181</f>
        <v>10.090614955764785</v>
      </c>
      <c r="H223" s="688">
        <f>'4C2 Open-burning '!Z181</f>
        <v>3.3951830046783922</v>
      </c>
      <c r="I223" s="688">
        <f>'4C2 Open-burning '!AH181</f>
        <v>4.7266677856746583E-2</v>
      </c>
      <c r="J223" s="93">
        <f>'4D Wastewater treatment and dis'!AV218</f>
        <v>231.17282949228024</v>
      </c>
      <c r="K223" s="3">
        <f>'4D Wastewater treatment and dis'!AW218</f>
        <v>3.6436849004121257</v>
      </c>
      <c r="L223" s="465">
        <f t="shared" si="150"/>
        <v>7159.0402454402974</v>
      </c>
      <c r="M223" s="688">
        <f t="shared" si="146"/>
        <v>94.089408720759579</v>
      </c>
      <c r="N223" s="465">
        <f t="shared" si="147"/>
        <v>887.12871079573313</v>
      </c>
      <c r="O223" s="464">
        <f t="shared" si="148"/>
        <v>96.042128189602451</v>
      </c>
      <c r="P223" s="465">
        <f t="shared" si="149"/>
        <v>5984.171738465644</v>
      </c>
      <c r="Q223" s="465">
        <f t="shared" si="141"/>
        <v>7159.0402454402974</v>
      </c>
      <c r="R223" s="467">
        <f t="shared" si="142"/>
        <v>981.21811951649272</v>
      </c>
      <c r="S223" s="464">
        <f t="shared" si="143"/>
        <v>96.042128189602451</v>
      </c>
      <c r="T223" s="465">
        <f t="shared" si="144"/>
        <v>5984.171738465644</v>
      </c>
      <c r="U223" s="465">
        <f t="shared" si="145"/>
        <v>14220.472231612037</v>
      </c>
    </row>
    <row r="224" spans="1:21">
      <c r="A224">
        <f>'Input data'!A143</f>
        <v>2043</v>
      </c>
      <c r="C224" s="266">
        <f>'4A SWD Case 3'!BN113</f>
        <v>328.94673327048304</v>
      </c>
      <c r="D224" s="3">
        <f>'4B Biological treatment '!T277</f>
        <v>4.5236431693786923</v>
      </c>
      <c r="E224" s="152">
        <f>'4B Biological treatment '!U277</f>
        <v>22.61821584689346</v>
      </c>
      <c r="F224" s="152">
        <f>'4B Biological treatment '!W277</f>
        <v>1.3570929508136076</v>
      </c>
      <c r="G224" s="688">
        <f>'4C2 Open-burning '!R182</f>
        <v>10.070837196069071</v>
      </c>
      <c r="H224" s="688">
        <f>'4C2 Open-burning '!Z182</f>
        <v>3.3885283940442661</v>
      </c>
      <c r="I224" s="688">
        <f>'4C2 Open-burning '!AH182</f>
        <v>4.7174034444985899E-2</v>
      </c>
      <c r="J224" s="93">
        <f>'4D Wastewater treatment and dis'!AV219</f>
        <v>232.6086276429136</v>
      </c>
      <c r="K224" s="3">
        <f>'4D Wastewater treatment and dis'!AW219</f>
        <v>3.666315570517225</v>
      </c>
      <c r="L224" s="465">
        <f t="shared" si="150"/>
        <v>6907.8813986801433</v>
      </c>
      <c r="M224" s="688">
        <f t="shared" si="146"/>
        <v>94.996506556952539</v>
      </c>
      <c r="N224" s="465">
        <f t="shared" si="147"/>
        <v>895.68134753698109</v>
      </c>
      <c r="O224" s="464">
        <f t="shared" si="148"/>
        <v>95.853884148944275</v>
      </c>
      <c r="P224" s="465">
        <f t="shared" si="149"/>
        <v>6021.3390073615255</v>
      </c>
      <c r="Q224" s="465">
        <f t="shared" si="141"/>
        <v>6907.8813986801433</v>
      </c>
      <c r="R224" s="467">
        <f t="shared" si="142"/>
        <v>990.67785409393366</v>
      </c>
      <c r="S224" s="464">
        <f t="shared" si="143"/>
        <v>95.853884148944275</v>
      </c>
      <c r="T224" s="465">
        <f t="shared" si="144"/>
        <v>6021.3390073615255</v>
      </c>
      <c r="U224" s="465">
        <f t="shared" si="145"/>
        <v>14015.752144284546</v>
      </c>
    </row>
    <row r="225" spans="1:21">
      <c r="A225">
        <f>'Input data'!A144</f>
        <v>2044</v>
      </c>
      <c r="C225" s="266">
        <f>'4A SWD Case 3'!BN114</f>
        <v>317.57823350047994</v>
      </c>
      <c r="D225" s="3">
        <f>'4B Biological treatment '!T278</f>
        <v>4.5685369018562749</v>
      </c>
      <c r="E225" s="152">
        <f>'4B Biological treatment '!U278</f>
        <v>22.842684509281369</v>
      </c>
      <c r="F225" s="152">
        <f>'4B Biological treatment '!W278</f>
        <v>1.3705610705568823</v>
      </c>
      <c r="G225" s="688">
        <f>'4C2 Open-burning '!R183</f>
        <v>10.05125818014367</v>
      </c>
      <c r="H225" s="688">
        <f>'4C2 Open-burning '!Z183</f>
        <v>3.3819406546042359</v>
      </c>
      <c r="I225" s="688">
        <f>'4C2 Open-burning '!AH183</f>
        <v>4.7082321993113047E-2</v>
      </c>
      <c r="J225" s="93">
        <f>'4D Wastewater treatment and dis'!AV220</f>
        <v>234.0533434346637</v>
      </c>
      <c r="K225" s="3">
        <f>'4D Wastewater treatment and dis'!AW220</f>
        <v>3.6890867981193103</v>
      </c>
      <c r="L225" s="465">
        <f t="shared" si="150"/>
        <v>6669.1429035100791</v>
      </c>
      <c r="M225" s="688">
        <f t="shared" si="146"/>
        <v>95.939274938981768</v>
      </c>
      <c r="N225" s="465">
        <f t="shared" si="147"/>
        <v>904.57030656754227</v>
      </c>
      <c r="O225" s="464">
        <f t="shared" si="148"/>
        <v>95.667531744697669</v>
      </c>
      <c r="P225" s="465">
        <f t="shared" si="149"/>
        <v>6058.7371195449232</v>
      </c>
      <c r="Q225" s="465">
        <f t="shared" si="141"/>
        <v>6669.1429035100791</v>
      </c>
      <c r="R225" s="467">
        <f t="shared" si="142"/>
        <v>1000.509581506524</v>
      </c>
      <c r="S225" s="464">
        <f t="shared" si="143"/>
        <v>95.667531744697669</v>
      </c>
      <c r="T225" s="465">
        <f t="shared" si="144"/>
        <v>6058.7371195449232</v>
      </c>
      <c r="U225" s="465">
        <f t="shared" si="145"/>
        <v>13824.057136306224</v>
      </c>
    </row>
    <row r="226" spans="1:21">
      <c r="A226">
        <f>'Input data'!A145</f>
        <v>2045</v>
      </c>
      <c r="C226" s="266">
        <f>'4A SWD Case 3'!BN115</f>
        <v>306.77236417905993</v>
      </c>
      <c r="D226" s="3">
        <f>'4B Biological treatment '!T279</f>
        <v>4.6151457496288035</v>
      </c>
      <c r="E226" s="152">
        <f>'4B Biological treatment '!U279</f>
        <v>23.075728748144016</v>
      </c>
      <c r="F226" s="152">
        <f>'4B Biological treatment '!W279</f>
        <v>1.384543724888641</v>
      </c>
      <c r="G226" s="688">
        <f>'4C2 Open-burning '!R184</f>
        <v>10.031875296933659</v>
      </c>
      <c r="H226" s="688">
        <f>'4C2 Open-burning '!Z184</f>
        <v>3.3754189078182595</v>
      </c>
      <c r="I226" s="688">
        <f>'4C2 Open-burning '!AH184</f>
        <v>4.6991528270367816E-2</v>
      </c>
      <c r="J226" s="93">
        <f>'4D Wastewater treatment and dis'!AV221</f>
        <v>235.50703225437104</v>
      </c>
      <c r="K226" s="3">
        <f>'4D Wastewater treatment and dis'!AW221</f>
        <v>3.711999456211089</v>
      </c>
      <c r="L226" s="465">
        <f t="shared" si="150"/>
        <v>6442.2196477602583</v>
      </c>
      <c r="M226" s="688">
        <f t="shared" si="146"/>
        <v>96.918060742204872</v>
      </c>
      <c r="N226" s="465">
        <f t="shared" si="147"/>
        <v>913.7988584265031</v>
      </c>
      <c r="O226" s="464">
        <f t="shared" si="148"/>
        <v>95.483046124931136</v>
      </c>
      <c r="P226" s="465">
        <f t="shared" si="149"/>
        <v>6096.3675087672291</v>
      </c>
      <c r="Q226" s="465">
        <f t="shared" si="141"/>
        <v>6442.2196477602583</v>
      </c>
      <c r="R226" s="467">
        <f t="shared" si="142"/>
        <v>1010.7169191687079</v>
      </c>
      <c r="S226" s="464">
        <f t="shared" si="143"/>
        <v>95.483046124931136</v>
      </c>
      <c r="T226" s="465">
        <f t="shared" si="144"/>
        <v>6096.3675087672291</v>
      </c>
      <c r="U226" s="465">
        <f t="shared" si="145"/>
        <v>13644.787121821126</v>
      </c>
    </row>
    <row r="227" spans="1:21">
      <c r="A227">
        <f>'Input data'!A146</f>
        <v>2046</v>
      </c>
      <c r="C227" s="266">
        <f>'4A SWD Case 3'!BN116</f>
        <v>296.91443712304942</v>
      </c>
      <c r="D227" s="3">
        <f>'4B Biological treatment '!T280</f>
        <v>4.6618858624074679</v>
      </c>
      <c r="E227" s="152">
        <f>'4B Biological treatment '!U280</f>
        <v>23.309429312037338</v>
      </c>
      <c r="F227" s="152">
        <f>'4B Biological treatment '!W280</f>
        <v>1.3985657587222404</v>
      </c>
      <c r="G227" s="688">
        <f>'4C2 Open-burning '!R185</f>
        <v>10.016080649685344</v>
      </c>
      <c r="H227" s="688">
        <f>'4C2 Open-burning '!Z185</f>
        <v>3.3701044925782111</v>
      </c>
      <c r="I227" s="688">
        <f>'4C2 Open-burning '!AH185</f>
        <v>4.6917542640490965E-2</v>
      </c>
      <c r="J227" s="93">
        <f>'4D Wastewater treatment and dis'!AV222</f>
        <v>236.70925796835201</v>
      </c>
      <c r="K227" s="3">
        <f>'4D Wastewater treatment and dis'!AW222</f>
        <v>3.7309486194433799</v>
      </c>
      <c r="L227" s="465">
        <f t="shared" si="150"/>
        <v>6235.2031795840376</v>
      </c>
      <c r="M227" s="688">
        <f t="shared" si="146"/>
        <v>97.899603110556825</v>
      </c>
      <c r="N227" s="465">
        <f t="shared" si="147"/>
        <v>923.05340075667868</v>
      </c>
      <c r="O227" s="464">
        <f t="shared" si="148"/>
        <v>95.332713212379986</v>
      </c>
      <c r="P227" s="465">
        <f t="shared" si="149"/>
        <v>6127.4884893628396</v>
      </c>
      <c r="Q227" s="465">
        <f t="shared" si="141"/>
        <v>6235.2031795840376</v>
      </c>
      <c r="R227" s="467">
        <f t="shared" si="142"/>
        <v>1020.9530038672356</v>
      </c>
      <c r="S227" s="464">
        <f t="shared" si="143"/>
        <v>95.332713212379986</v>
      </c>
      <c r="T227" s="465">
        <f t="shared" si="144"/>
        <v>6127.4884893628396</v>
      </c>
      <c r="U227" s="465">
        <f t="shared" si="145"/>
        <v>13478.977386026494</v>
      </c>
    </row>
    <row r="228" spans="1:21">
      <c r="A228">
        <f>'Input data'!A147</f>
        <v>2047</v>
      </c>
      <c r="C228" s="266">
        <f>'4A SWD Case 3'!BN117</f>
        <v>288.18673738979305</v>
      </c>
      <c r="D228" s="3">
        <f>'4B Biological treatment '!T281</f>
        <v>4.6723744001611447</v>
      </c>
      <c r="E228" s="152">
        <f>'4B Biological treatment '!U281</f>
        <v>23.361872000805718</v>
      </c>
      <c r="F228" s="152">
        <f>'4B Biological treatment '!W281</f>
        <v>1.4017123200483432</v>
      </c>
      <c r="G228" s="688">
        <f>'4C2 Open-burning '!R186</f>
        <v>10.000415502259907</v>
      </c>
      <c r="H228" s="688">
        <f>'4C2 Open-burning '!Z186</f>
        <v>3.3648336500638756</v>
      </c>
      <c r="I228" s="688">
        <f>'4C2 Open-burning '!AH186</f>
        <v>4.6844163616498617E-2</v>
      </c>
      <c r="J228" s="93">
        <f>'4D Wastewater treatment and dis'!AV223</f>
        <v>237.91762085222362</v>
      </c>
      <c r="K228" s="3">
        <f>'4D Wastewater treatment and dis'!AW223</f>
        <v>3.74999451512174</v>
      </c>
      <c r="L228" s="465">
        <f t="shared" si="150"/>
        <v>6051.9214851856541</v>
      </c>
      <c r="M228" s="688">
        <f t="shared" si="146"/>
        <v>98.119862403384033</v>
      </c>
      <c r="N228" s="465">
        <f t="shared" si="147"/>
        <v>925.13013123190649</v>
      </c>
      <c r="O228" s="464">
        <f t="shared" si="148"/>
        <v>95.183612874715863</v>
      </c>
      <c r="P228" s="465">
        <f t="shared" si="149"/>
        <v>6158.7683375844354</v>
      </c>
      <c r="Q228" s="465">
        <f t="shared" si="141"/>
        <v>6051.9214851856541</v>
      </c>
      <c r="R228" s="467">
        <f t="shared" si="142"/>
        <v>1023.2499936352905</v>
      </c>
      <c r="S228" s="464">
        <f t="shared" si="143"/>
        <v>95.183612874715863</v>
      </c>
      <c r="T228" s="465">
        <f t="shared" si="144"/>
        <v>6158.7683375844354</v>
      </c>
      <c r="U228" s="465">
        <f t="shared" si="145"/>
        <v>13329.123429280095</v>
      </c>
    </row>
    <row r="229" spans="1:21">
      <c r="A229">
        <f>'Input data'!A148</f>
        <v>2048</v>
      </c>
      <c r="C229" s="266">
        <f>'4A SWD Case 3'!BN118</f>
        <v>280.53390236201318</v>
      </c>
      <c r="D229" s="3">
        <f>'4B Biological treatment '!T282</f>
        <v>4.6786417825448847</v>
      </c>
      <c r="E229" s="152">
        <f>'4B Biological treatment '!U282</f>
        <v>23.393208912724425</v>
      </c>
      <c r="F229" s="152">
        <f>'4B Biological treatment '!W282</f>
        <v>1.4035925347634655</v>
      </c>
      <c r="G229" s="688">
        <f>'4C2 Open-burning '!R187</f>
        <v>9.984878469104487</v>
      </c>
      <c r="H229" s="688">
        <f>'4C2 Open-burning '!Z187</f>
        <v>3.3596059140791361</v>
      </c>
      <c r="I229" s="688">
        <f>'4C2 Open-burning '!AH187</f>
        <v>4.6771384708153965E-2</v>
      </c>
      <c r="J229" s="93">
        <f>'4D Wastewater treatment and dis'!AV224</f>
        <v>239.13215223525594</v>
      </c>
      <c r="K229" s="3">
        <f>'4D Wastewater treatment and dis'!AW224</f>
        <v>3.769137637049826</v>
      </c>
      <c r="L229" s="465">
        <f t="shared" si="150"/>
        <v>5891.2119496022769</v>
      </c>
      <c r="M229" s="688">
        <f t="shared" si="146"/>
        <v>98.251477433442574</v>
      </c>
      <c r="N229" s="465">
        <f t="shared" si="147"/>
        <v>926.37107294388716</v>
      </c>
      <c r="O229" s="464">
        <f t="shared" si="148"/>
        <v>95.035731924294083</v>
      </c>
      <c r="P229" s="465">
        <f t="shared" si="149"/>
        <v>6190.2078644258199</v>
      </c>
      <c r="Q229" s="465">
        <f t="shared" si="141"/>
        <v>5891.2119496022769</v>
      </c>
      <c r="R229" s="467">
        <f t="shared" si="142"/>
        <v>1024.6225503773298</v>
      </c>
      <c r="S229" s="464">
        <f t="shared" si="143"/>
        <v>95.035731924294083</v>
      </c>
      <c r="T229" s="465">
        <f t="shared" si="144"/>
        <v>6190.2078644258199</v>
      </c>
      <c r="U229" s="465">
        <f t="shared" si="145"/>
        <v>13201.07809632972</v>
      </c>
    </row>
    <row r="230" spans="1:21">
      <c r="A230">
        <f>'Input data'!A149</f>
        <v>2049</v>
      </c>
      <c r="C230" s="266">
        <f>'4A SWD Case 3'!BN119</f>
        <v>273.9039671562777</v>
      </c>
      <c r="D230" s="3">
        <f>'4B Biological treatment '!T283</f>
        <v>4.6851282657538373</v>
      </c>
      <c r="E230" s="152">
        <f>'4B Biological treatment '!U283</f>
        <v>23.425641328769188</v>
      </c>
      <c r="F230" s="152">
        <f>'4B Biological treatment '!W283</f>
        <v>1.4055384797261512</v>
      </c>
      <c r="G230" s="688">
        <f>'4C2 Open-burning '!R188</f>
        <v>9.9694681839421868</v>
      </c>
      <c r="H230" s="688">
        <f>'4C2 Open-burning '!Z188</f>
        <v>3.3544208249136438</v>
      </c>
      <c r="I230" s="688">
        <f>'4C2 Open-burning '!AH188</f>
        <v>4.669919951551306E-2</v>
      </c>
      <c r="J230" s="93">
        <f>'4D Wastewater treatment and dis'!AV225</f>
        <v>240.35288360665007</v>
      </c>
      <c r="K230" s="3">
        <f>'4D Wastewater treatment and dis'!AW225</f>
        <v>3.7883784815520856</v>
      </c>
      <c r="L230" s="465">
        <f t="shared" si="150"/>
        <v>5751.983310281832</v>
      </c>
      <c r="M230" s="688">
        <f t="shared" si="146"/>
        <v>98.387693580830586</v>
      </c>
      <c r="N230" s="465">
        <f t="shared" si="147"/>
        <v>927.65539661925982</v>
      </c>
      <c r="O230" s="464">
        <f t="shared" si="148"/>
        <v>94.889057356937755</v>
      </c>
      <c r="P230" s="465">
        <f t="shared" si="149"/>
        <v>6221.8078850207985</v>
      </c>
      <c r="Q230" s="465">
        <f t="shared" si="141"/>
        <v>5751.983310281832</v>
      </c>
      <c r="R230" s="467">
        <f t="shared" si="142"/>
        <v>1026.0430902000903</v>
      </c>
      <c r="S230" s="464">
        <f t="shared" si="143"/>
        <v>94.889057356937755</v>
      </c>
      <c r="T230" s="465">
        <f t="shared" si="144"/>
        <v>6221.8078850207985</v>
      </c>
      <c r="U230" s="465">
        <f t="shared" si="145"/>
        <v>13094.723342859659</v>
      </c>
    </row>
    <row r="231" spans="1:21">
      <c r="A231">
        <f>'Input data'!A150</f>
        <v>2050</v>
      </c>
      <c r="C231" s="266">
        <f>'4A SWD Case 3'!BN120</f>
        <v>268.24811680786729</v>
      </c>
      <c r="D231" s="3">
        <f>'4B Biological treatment '!T284</f>
        <v>4.6898725095967517</v>
      </c>
      <c r="E231" s="152">
        <f>'4B Biological treatment '!U284</f>
        <v>23.44936254798376</v>
      </c>
      <c r="F231" s="152">
        <f>'4B Biological treatment '!W284</f>
        <v>1.4069617528790255</v>
      </c>
      <c r="G231" s="688">
        <f>'4C2 Open-burning '!R189</f>
        <v>9.9541832994375596</v>
      </c>
      <c r="H231" s="688">
        <f>'4C2 Open-burning '!Z189</f>
        <v>3.3492779292302708</v>
      </c>
      <c r="I231" s="688">
        <f>'4C2 Open-burning '!AH189</f>
        <v>4.6627601727357935E-2</v>
      </c>
      <c r="J231" s="93">
        <f>'4D Wastewater treatment and dis'!AV226</f>
        <v>241.57984661635467</v>
      </c>
      <c r="K231" s="3">
        <f>'4D Wastewater treatment and dis'!AW226</f>
        <v>3.8077175474866229</v>
      </c>
      <c r="L231" s="465">
        <f t="shared" si="150"/>
        <v>5633.2104529652133</v>
      </c>
      <c r="M231" s="688">
        <f t="shared" si="146"/>
        <v>98.487322701531781</v>
      </c>
      <c r="N231" s="465">
        <f t="shared" si="147"/>
        <v>928.59475690015688</v>
      </c>
      <c r="O231" s="464">
        <f t="shared" si="148"/>
        <v>94.743576348754203</v>
      </c>
      <c r="P231" s="465">
        <f t="shared" si="149"/>
        <v>6253.5692186643009</v>
      </c>
      <c r="Q231" s="417">
        <f t="shared" si="141"/>
        <v>5633.2104529652133</v>
      </c>
      <c r="R231" s="463">
        <f t="shared" si="142"/>
        <v>1027.0820796016887</v>
      </c>
      <c r="S231" s="460">
        <f t="shared" si="143"/>
        <v>94.743576348754203</v>
      </c>
      <c r="T231" s="417">
        <f t="shared" si="144"/>
        <v>6253.5692186643009</v>
      </c>
      <c r="U231" s="417">
        <f t="shared" si="145"/>
        <v>13008.605327579957</v>
      </c>
    </row>
    <row r="232" spans="1:21">
      <c r="E232" s="461"/>
    </row>
    <row r="233" spans="1:21">
      <c r="E233" s="461"/>
    </row>
  </sheetData>
  <mergeCells count="32">
    <mergeCell ref="CJ5:CM6"/>
    <mergeCell ref="CF5:CI6"/>
    <mergeCell ref="CB5:CE6"/>
    <mergeCell ref="BU5:BW6"/>
    <mergeCell ref="BX5:BZ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A6:A8"/>
    <mergeCell ref="G7:I7"/>
    <mergeCell ref="E7:F7"/>
    <mergeCell ref="J7:K7"/>
    <mergeCell ref="B6:B7"/>
    <mergeCell ref="G6:I6"/>
    <mergeCell ref="D6:F6"/>
    <mergeCell ref="J6:K6"/>
    <mergeCell ref="W3:AD3"/>
    <mergeCell ref="C5:K5"/>
    <mergeCell ref="W6:W7"/>
    <mergeCell ref="X5:AB5"/>
    <mergeCell ref="AD5:AH5"/>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4.4"/>
  <cols>
    <col min="2" max="26" width="8.88671875" customWidth="1"/>
  </cols>
  <sheetData>
    <row r="1" spans="63:152">
      <c r="BK1" t="s">
        <v>520</v>
      </c>
    </row>
    <row r="3" spans="63:152">
      <c r="EV3" s="468" t="s">
        <v>810</v>
      </c>
    </row>
    <row r="4" spans="63:152" ht="31.2">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4.4"/>
  <cols>
    <col min="3" max="3" width="11.5546875" customWidth="1"/>
    <col min="4" max="4" width="12.6640625" customWidth="1"/>
    <col min="5" max="6" width="13.109375" customWidth="1"/>
    <col min="9" max="9" width="11.109375" customWidth="1"/>
    <col min="10" max="10" width="12.5546875" customWidth="1"/>
    <col min="11" max="11" width="11.44140625" customWidth="1"/>
    <col min="12" max="12" width="17.44140625" customWidth="1"/>
    <col min="13" max="13" width="12" customWidth="1"/>
  </cols>
  <sheetData>
    <row r="1" spans="1:13" ht="15" thickBot="1">
      <c r="B1" s="1475" t="s">
        <v>743</v>
      </c>
      <c r="C1" s="1476"/>
      <c r="D1" s="1476"/>
      <c r="E1" s="1476"/>
      <c r="F1" s="1477"/>
      <c r="H1" s="1475" t="s">
        <v>744</v>
      </c>
      <c r="I1" s="1476"/>
      <c r="J1" s="1476"/>
      <c r="K1" s="1476"/>
      <c r="L1" s="1477"/>
      <c r="M1" s="1469" t="s">
        <v>747</v>
      </c>
    </row>
    <row r="2" spans="1:13">
      <c r="B2" s="1464" t="s">
        <v>518</v>
      </c>
      <c r="C2" s="1465"/>
      <c r="D2" s="1465"/>
      <c r="E2" s="1465"/>
      <c r="F2" s="1466"/>
      <c r="H2" s="1464" t="s">
        <v>518</v>
      </c>
      <c r="I2" s="1465"/>
      <c r="J2" s="1465"/>
      <c r="K2" s="1465"/>
      <c r="L2" s="1466"/>
      <c r="M2" s="1470"/>
    </row>
    <row r="3" spans="1:13">
      <c r="B3" s="455" t="s">
        <v>187</v>
      </c>
      <c r="C3" s="458" t="s">
        <v>194</v>
      </c>
      <c r="D3" s="458" t="s">
        <v>513</v>
      </c>
      <c r="E3" s="458" t="s">
        <v>517</v>
      </c>
      <c r="F3" s="459">
        <v>4</v>
      </c>
      <c r="H3" s="455" t="s">
        <v>187</v>
      </c>
      <c r="I3" s="458" t="s">
        <v>194</v>
      </c>
      <c r="J3" s="458" t="s">
        <v>513</v>
      </c>
      <c r="K3" s="458" t="s">
        <v>517</v>
      </c>
      <c r="L3" s="459">
        <v>4</v>
      </c>
      <c r="M3" s="1470"/>
    </row>
    <row r="4" spans="1:13" ht="57.6">
      <c r="B4" s="455" t="s">
        <v>233</v>
      </c>
      <c r="C4" s="458" t="s">
        <v>512</v>
      </c>
      <c r="D4" s="458" t="s">
        <v>38</v>
      </c>
      <c r="E4" s="458" t="s">
        <v>193</v>
      </c>
      <c r="F4" s="459" t="s">
        <v>627</v>
      </c>
      <c r="H4" s="455" t="s">
        <v>233</v>
      </c>
      <c r="I4" s="458" t="s">
        <v>512</v>
      </c>
      <c r="J4" s="458" t="s">
        <v>38</v>
      </c>
      <c r="K4" s="458" t="s">
        <v>193</v>
      </c>
      <c r="L4" s="459" t="s">
        <v>627</v>
      </c>
      <c r="M4" s="1470"/>
    </row>
    <row r="5" spans="1:13" ht="15" thickBot="1">
      <c r="B5" s="1461" t="s">
        <v>515</v>
      </c>
      <c r="C5" s="1462"/>
      <c r="D5" s="1462"/>
      <c r="E5" s="1462"/>
      <c r="F5" s="1463"/>
      <c r="H5" s="1461" t="s">
        <v>515</v>
      </c>
      <c r="I5" s="1462"/>
      <c r="J5" s="1462"/>
      <c r="K5" s="1462"/>
      <c r="L5" s="1463"/>
      <c r="M5" s="1471"/>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Expert Technique International</cp:lastModifiedBy>
  <dcterms:created xsi:type="dcterms:W3CDTF">2020-04-24T15:45:05Z</dcterms:created>
  <dcterms:modified xsi:type="dcterms:W3CDTF">2022-11-09T20:54:38Z</dcterms:modified>
</cp:coreProperties>
</file>